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9040" windowHeight="15840" tabRatio="599"/>
  </bookViews>
  <sheets>
    <sheet name="Лист1" sheetId="1" r:id="rId1"/>
    <sheet name="Лист2" sheetId="2" r:id="rId2"/>
    <sheet name="Лист3" sheetId="3" r:id="rId3"/>
  </sheets>
  <definedNames>
    <definedName name="_xlnm._FilterDatabase" localSheetId="0" hidden="1">Лист1!$A$14:$V$161</definedName>
    <definedName name="_xlnm.Print_Area" localSheetId="0">Лист1!$A$1:$M$163</definedName>
    <definedName name="_xlnm.Print_Area" localSheetId="1">Лист2!$A$1:$E$34</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3" i="1"/>
  <c r="H84"/>
  <c r="K78"/>
  <c r="L78"/>
  <c r="J78"/>
  <c r="I78"/>
  <c r="I102"/>
  <c r="H102"/>
  <c r="G102"/>
  <c r="H93"/>
  <c r="I93"/>
  <c r="J93"/>
  <c r="K93"/>
  <c r="L93"/>
  <c r="G93"/>
  <c r="L19" l="1"/>
  <c r="K19"/>
  <c r="K18" l="1"/>
  <c r="K17"/>
  <c r="L18"/>
  <c r="L17"/>
  <c r="I36"/>
  <c r="H18" l="1"/>
  <c r="H17"/>
  <c r="H111"/>
  <c r="J102"/>
  <c r="K102"/>
  <c r="L102"/>
  <c r="G84"/>
  <c r="H19"/>
  <c r="G19"/>
  <c r="G18"/>
  <c r="G17"/>
  <c r="H144"/>
  <c r="J144"/>
  <c r="K144"/>
  <c r="L144"/>
  <c r="G144"/>
  <c r="H141"/>
  <c r="J141"/>
  <c r="K141"/>
  <c r="L141"/>
  <c r="G141"/>
  <c r="J139" l="1"/>
  <c r="J40"/>
  <c r="J38"/>
  <c r="J35"/>
  <c r="J28"/>
  <c r="J16" l="1"/>
  <c r="K16"/>
  <c r="L16"/>
  <c r="H20"/>
  <c r="J20"/>
  <c r="K20"/>
  <c r="L20"/>
  <c r="G20"/>
  <c r="H16"/>
  <c r="G16"/>
  <c r="K129"/>
  <c r="J26" l="1"/>
  <c r="J68" l="1"/>
  <c r="J67"/>
  <c r="J45"/>
  <c r="J29"/>
  <c r="J63" l="1"/>
  <c r="J48"/>
  <c r="J47"/>
  <c r="J24"/>
  <c r="J31"/>
  <c r="J30"/>
  <c r="J75"/>
  <c r="J74"/>
  <c r="J159"/>
  <c r="J73" l="1"/>
  <c r="J62" s="1"/>
  <c r="J57" l="1"/>
  <c r="J18" s="1"/>
  <c r="J15" s="1"/>
  <c r="J56"/>
  <c r="J17" l="1"/>
  <c r="J19"/>
  <c r="I86"/>
  <c r="I85"/>
  <c r="I84" s="1"/>
  <c r="I44"/>
  <c r="H154"/>
  <c r="H153" s="1"/>
  <c r="J154"/>
  <c r="J153" s="1"/>
  <c r="K154"/>
  <c r="K153" s="1"/>
  <c r="L154"/>
  <c r="L153" s="1"/>
  <c r="G154"/>
  <c r="G153" s="1"/>
  <c r="L134"/>
  <c r="K134"/>
  <c r="J134"/>
  <c r="J133" s="1"/>
  <c r="H134"/>
  <c r="G134"/>
  <c r="L124"/>
  <c r="K124"/>
  <c r="J124"/>
  <c r="L117"/>
  <c r="K117"/>
  <c r="J117"/>
  <c r="I111"/>
  <c r="H62"/>
  <c r="G62"/>
  <c r="H133" l="1"/>
  <c r="K133"/>
  <c r="L133"/>
  <c r="G133"/>
  <c r="K73"/>
  <c r="K62" s="1"/>
  <c r="L73"/>
  <c r="L62" s="1"/>
  <c r="H21"/>
  <c r="J21"/>
  <c r="K21"/>
  <c r="L21"/>
  <c r="G21"/>
  <c r="I77"/>
  <c r="I16" s="1"/>
  <c r="C29" i="2"/>
  <c r="C30"/>
  <c r="C2"/>
  <c r="C3"/>
  <c r="C4"/>
  <c r="C5"/>
  <c r="C6"/>
  <c r="C7"/>
  <c r="C8"/>
  <c r="C9"/>
  <c r="C10"/>
  <c r="C11"/>
  <c r="C12"/>
  <c r="C13"/>
  <c r="C14"/>
  <c r="C15"/>
  <c r="C16"/>
  <c r="C17"/>
  <c r="C18"/>
  <c r="C19"/>
  <c r="C20"/>
  <c r="C21"/>
  <c r="C22"/>
  <c r="C23"/>
  <c r="C24"/>
  <c r="C25"/>
  <c r="C26"/>
  <c r="C27"/>
  <c r="C28"/>
  <c r="C1"/>
  <c r="H124" i="1"/>
  <c r="I124"/>
  <c r="G117"/>
  <c r="G124" s="1"/>
  <c r="H117"/>
  <c r="I117"/>
  <c r="I31"/>
  <c r="I66"/>
  <c r="I64"/>
  <c r="I63"/>
  <c r="I35"/>
  <c r="I45"/>
  <c r="I29"/>
  <c r="I41"/>
  <c r="I161"/>
  <c r="I68"/>
  <c r="I142"/>
  <c r="I152"/>
  <c r="I149" s="1"/>
  <c r="I145"/>
  <c r="I144" s="1"/>
  <c r="I143"/>
  <c r="I136"/>
  <c r="I71"/>
  <c r="I67"/>
  <c r="I40"/>
  <c r="I28"/>
  <c r="I25"/>
  <c r="I61"/>
  <c r="I72"/>
  <c r="I159"/>
  <c r="I38"/>
  <c r="I26"/>
  <c r="I24"/>
  <c r="S102"/>
  <c r="R102"/>
  <c r="Q102"/>
  <c r="S85"/>
  <c r="R85"/>
  <c r="Q85"/>
  <c r="I59"/>
  <c r="I30"/>
  <c r="I48"/>
  <c r="I47"/>
  <c r="I139"/>
  <c r="I155"/>
  <c r="I57"/>
  <c r="I49"/>
  <c r="I27"/>
  <c r="L84"/>
  <c r="L34"/>
  <c r="K84"/>
  <c r="K34"/>
  <c r="K22" s="1"/>
  <c r="J84"/>
  <c r="J34"/>
  <c r="J23"/>
  <c r="H34"/>
  <c r="H23"/>
  <c r="G34"/>
  <c r="G23"/>
  <c r="J22" l="1"/>
  <c r="G22"/>
  <c r="H22"/>
  <c r="I19"/>
  <c r="I17"/>
  <c r="I18"/>
  <c r="I141"/>
  <c r="I20"/>
  <c r="I62"/>
  <c r="I34"/>
  <c r="I134"/>
  <c r="I23"/>
  <c r="I22" s="1"/>
  <c r="I21"/>
  <c r="I154"/>
  <c r="I153" s="1"/>
  <c r="L23"/>
  <c r="L22" s="1"/>
  <c r="K15"/>
  <c r="H15"/>
  <c r="L15"/>
  <c r="G15"/>
  <c r="I133" l="1"/>
  <c r="I15"/>
</calcChain>
</file>

<file path=xl/comments1.xml><?xml version="1.0" encoding="utf-8"?>
<comments xmlns="http://schemas.openxmlformats.org/spreadsheetml/2006/main">
  <authors>
    <author>Ольга</author>
  </authors>
  <commentList>
    <comment ref="E59"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<sst xmlns="http://schemas.openxmlformats.org/spreadsheetml/2006/main" count="518" uniqueCount="314">
  <si>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</si>
  <si>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</si>
  <si>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</si>
  <si>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</si>
  <si>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</si>
  <si>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</si>
  <si>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</si>
  <si>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</si>
  <si>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</si>
  <si>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</si>
  <si>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</si>
  <si>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</si>
  <si>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</si>
  <si>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</si>
  <si>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</si>
  <si>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</si>
  <si>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</si>
  <si>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</si>
  <si>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</si>
  <si>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</si>
  <si>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</si>
  <si>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</si>
  <si>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</si>
  <si>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</si>
  <si>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</si>
  <si>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</si>
  <si>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</si>
  <si>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</si>
  <si>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</si>
  <si>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</si>
  <si>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</si>
  <si>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</si>
  <si>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</si>
  <si>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1.прочие расходы</t>
  </si>
  <si>
    <t>32300 00000</t>
  </si>
  <si>
    <t>32301 00000</t>
  </si>
  <si>
    <t>32301 22280</t>
  </si>
  <si>
    <t>3210271440</t>
  </si>
  <si>
    <t>32102 71450</t>
  </si>
  <si>
    <t>32102S1440</t>
  </si>
  <si>
    <t>3210122170</t>
  </si>
  <si>
    <t>Приложение</t>
  </si>
  <si>
    <t>Сопровождение детей "Ирбис"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</si>
  <si>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</si>
  <si>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</si>
  <si>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</si>
  <si>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</si>
  <si>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</si>
  <si>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321Е100000</t>
  </si>
  <si>
    <t>УКМПСТ</t>
  </si>
  <si>
    <t>1.23.;                                   1.24.;                                     1.25.;                             1.26.</t>
  </si>
  <si>
    <t>2.1.;                                                     2.2.;                                            2.3.</t>
  </si>
  <si>
    <t>Управление образования</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</si>
  <si>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</si>
  <si>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</si>
  <si>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</si>
  <si>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</si>
  <si>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</si>
  <si>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321Е2 00000</t>
  </si>
  <si>
    <t>1.; 2.; 3.; 4.</t>
  </si>
  <si>
    <t>1.1.; 1.2.</t>
  </si>
  <si>
    <t xml:space="preserve">2.4.;                                     2.5.                                                  </t>
  </si>
  <si>
    <t xml:space="preserve">3.1.;                                3.2.;                                     </t>
  </si>
  <si>
    <t>32102 79140</t>
  </si>
  <si>
    <t>32102 S9140</t>
  </si>
  <si>
    <t>07 02</t>
  </si>
  <si>
    <t>32102 53030</t>
  </si>
  <si>
    <t>321Е4 00000</t>
  </si>
  <si>
    <t>32102 L3040</t>
  </si>
  <si>
    <t>Оказание соц. поддержки по обеспечению бесплатным горячим питанием обучающихся 1-4 классов.</t>
  </si>
  <si>
    <t>1.3;                           1.6.</t>
  </si>
  <si>
    <t>321Е4 52100</t>
  </si>
  <si>
    <t>07 03</t>
  </si>
  <si>
    <t>32203 0058П</t>
  </si>
  <si>
    <t>32203 00000</t>
  </si>
  <si>
    <t>32102 S1450</t>
  </si>
  <si>
    <t xml:space="preserve">к текстовой части муниципальной программы «Развитие образования в Усть-Абаканском районе» 
</t>
  </si>
  <si>
    <t>РЕСУРСНОЕ ОБЕСПЕЧЕНИЕ</t>
  </si>
  <si>
    <t xml:space="preserve">реализации муниципальной программы </t>
  </si>
  <si>
    <t>Объемы бюджетных ассигнований по годам, рублей</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</si>
  <si>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</si>
  <si>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</si>
  <si>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</si>
  <si>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</si>
  <si>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</si>
  <si>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</si>
  <si>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Республиканский бюджет РХ</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</si>
  <si>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</si>
  <si>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</si>
  <si>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Основное мероприятие 2.1 "Развитие системы дополнительного образования детей"</t>
  </si>
  <si>
    <t>Основное мероприятие 2.2 "Выявление и поддержка одаренных детей и талантливой молодежи"</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</si>
  <si>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</si>
  <si>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</si>
  <si>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</si>
  <si>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</si>
  <si>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</si>
  <si>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</si>
  <si>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 оплата труда 2. услуги связи 3. прочие услуги 4. прочие расходы 5.  приобретение основных средств 6. приобретение мат.запасов.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</si>
  <si>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</si>
  <si>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</si>
  <si>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</si>
  <si>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</si>
  <si>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</si>
  <si>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</si>
  <si>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</si>
  <si>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</si>
  <si>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</si>
  <si>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</si>
  <si>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</si>
  <si>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</si>
  <si>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</si>
  <si>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</si>
  <si>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</si>
  <si>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</si>
  <si>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</si>
  <si>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</si>
  <si>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</si>
  <si>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</si>
  <si>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</si>
  <si>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2.1.3 "Обеспечение деятельности подведомственных учреждений (МБУДО "Усть-Абаканская СШ")"</t>
  </si>
  <si>
    <t>321Е1 51720</t>
  </si>
  <si>
    <t>321Е2 50970</t>
  </si>
  <si>
    <t>321Е2 7144Р</t>
  </si>
  <si>
    <t>321Е2 S144Р</t>
  </si>
  <si>
    <t>321Е2 50980</t>
  </si>
  <si>
    <t>321ЕВ 00000</t>
  </si>
  <si>
    <t>321Е4 52130</t>
  </si>
  <si>
    <t>32102 73470</t>
  </si>
  <si>
    <t>32102 S3470</t>
  </si>
  <si>
    <t>Оснащение образовательных учреждений государственными символами Российской Федерации</t>
  </si>
  <si>
    <t>Приобретение оборудования в рамках реализации проекта "Точка роста".</t>
  </si>
  <si>
    <t xml:space="preserve">Приобретение технологического, компьютерного, учебного оборудования и ремонт учреждений для получения  качественного образования.                                                                                                                                                                                                                                                                                                                                                                                                                                                                                                                                                                                                                                                                                                                                                                                                                                                                                                                                                                                                                                                                                                                                                                                                                                                                                                                                                                                                                                                                                                                                                                                                                                                                                                                                                                                                                                                                                                                                                                                                                                                                                                                                                                                                                                                                                                                                                                                                                                                                                                                                                                                                   </t>
  </si>
  <si>
    <t>Мероприятие 1.1.3 "Капитальный ремонт в муниципальных учреждениях, в том числе проектно-сметная документация"</t>
  </si>
  <si>
    <t>Мероприятие 1.1.4 "Мероприятия по развитию дошкольного образования"</t>
  </si>
  <si>
    <t>Мероприятие 1.1.5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</si>
  <si>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1.1.6 "Модернизация региональных систем дошкольного образования"</t>
  </si>
  <si>
    <t>Мероприятие 1.1.7 "Модернизация региональных систем дошкольного образования (софинансирование)"</t>
  </si>
  <si>
    <t>Подпрограмма 2 "Развитие системы дополнительного образования детей, выявление и поддержка одаренных детей и молодежи"</t>
  </si>
  <si>
    <t>Мероприятие 2.2.1 "Создание условий для обеспечения современного качества образования"</t>
  </si>
  <si>
    <t>32102 S1400</t>
  </si>
  <si>
    <t>Приобретение жилья для специалистов с высшим педагогическим образованием</t>
  </si>
  <si>
    <t>Ремонт кабинетов и приобретение учебной мебели Точка роста</t>
  </si>
  <si>
    <t>321Е1 7144Р</t>
  </si>
  <si>
    <t>32102 71400</t>
  </si>
  <si>
    <t>32103 01980</t>
  </si>
  <si>
    <t>321ЕВ 51790</t>
  </si>
  <si>
    <t xml:space="preserve">1.прочие услуги 2. приобретение основных средств 3.приобретение материальных запасов. </t>
  </si>
  <si>
    <t>Ремонт кабинетов и приобретение учебной мебели Точка роста (софинансирование)</t>
  </si>
  <si>
    <t>Приобретение лингафонного оборудования в образовательные организации, где осуществляется изучение хакасского языка</t>
  </si>
  <si>
    <t>Приобретение лингафонного оборудования в образовательные организации, где осуществляется изучение хакасского языка (софинансирование)</t>
  </si>
  <si>
    <t xml:space="preserve">1. оплата труда 2. прочие выплаты 3.коммунальные услуги 4. услуги по содержанию имущества 5.  приобретение основных средств 6. приобретение мат.запасов. </t>
  </si>
  <si>
    <t>1.Торжественные проводы в армию в день республиканкой акции "День призывника" 2.Фестиваль-конкурс исполнителей патриотической песни мастеров художественного слова "Я люблю тебя Россия".</t>
  </si>
  <si>
    <t>Мероприятие 2.1.1 "Обеспечение деятельности подведомственных учреждений (МБУДО "Усть-Абаканская ДШИ")"</t>
  </si>
  <si>
    <t>Мероприятие 2.1.2 "Обеспечение деятельности подведомственных учреждений (МБУДО "Усть-Абаканский ЦДО")"</t>
  </si>
  <si>
    <t xml:space="preserve">Кап.ремонт спортивного зала МБОУ "В-Биджинская СОШ"-2022г, МБОУ "Райковская СОШ им. Н.И. Носова"-2022г.  </t>
  </si>
  <si>
    <t xml:space="preserve">Ремонт кабинетов и приобретение оборудования в рамках реализации проекта "Цифровая образовательная среда".  </t>
  </si>
  <si>
    <t xml:space="preserve">Кап.ремонт спортивного зала МБОУ "Чарковская СОШИ"    </t>
  </si>
  <si>
    <t xml:space="preserve">Приобретение оборудования в рамках реализации проекта "Цифровая образовательная среда".  </t>
  </si>
  <si>
    <t>Кап.ремонт МБОУ "Чапаевская СОШ"</t>
  </si>
  <si>
    <t>321Е1 51721</t>
  </si>
  <si>
    <t>321Е4 7144Р</t>
  </si>
  <si>
    <t>321Е4 S144Р</t>
  </si>
  <si>
    <t>Основное мероприятие 2.4 "Региональный проект Республики Хакасия "Успех каждого ребенка"</t>
  </si>
  <si>
    <t>Мероприятие 2.4.1 "Оснащение (обновление материально- 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(в том числе софинансирование с республиканским бюджетом)"</t>
  </si>
  <si>
    <t>322Е2 51710</t>
  </si>
  <si>
    <t>322Е2 00000</t>
  </si>
  <si>
    <t>32102L7500</t>
  </si>
  <si>
    <t>32102 09970</t>
  </si>
  <si>
    <t>Ликвидация чрезвычайных ситуаций: ремонт кровли, замена окон</t>
  </si>
  <si>
    <t>Мероприятие 2.1.4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</si>
  <si>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32201 09970</t>
  </si>
  <si>
    <t>Мероприятие 2.1.5 "Создание условий для обеспечения современного качества образования"</t>
  </si>
  <si>
    <t>Приобретение кресел для актового зала школы</t>
  </si>
  <si>
    <t>32102 50500</t>
  </si>
  <si>
    <t>1. Ежемесячное денежное вознаграждение</t>
  </si>
  <si>
    <t>1.Денежные премии победителям конкурса между педагогов</t>
  </si>
  <si>
    <t>32104 И2412</t>
  </si>
  <si>
    <t>32104 И2413</t>
  </si>
  <si>
    <t>32103 03501</t>
  </si>
  <si>
    <t>321Ю4 57500</t>
  </si>
  <si>
    <t>321Ю4 00000</t>
  </si>
  <si>
    <t>321Я1 00000</t>
  </si>
  <si>
    <t>321Ю4 55590</t>
  </si>
  <si>
    <t>321Ю6 50500</t>
  </si>
  <si>
    <t>321Ю6 53030</t>
  </si>
  <si>
    <t>321Ю6 00000</t>
  </si>
  <si>
    <t>321Я1 53150</t>
  </si>
  <si>
    <t>32103 03503</t>
  </si>
  <si>
    <t>0709</t>
  </si>
  <si>
    <t>0702</t>
  </si>
  <si>
    <t>32103 55490</t>
  </si>
  <si>
    <t>1376003283,95</t>
  </si>
  <si>
    <t>848100865,37</t>
  </si>
  <si>
    <t xml:space="preserve"> 1551104031,53</t>
  </si>
  <si>
    <t>1150034748,60</t>
  </si>
  <si>
    <t>1310980147,37</t>
  </si>
  <si>
    <t>1158583554,08</t>
  </si>
  <si>
    <t>1342855036,16</t>
  </si>
  <si>
    <t>801810420,37</t>
  </si>
  <si>
    <t>1520842783,74</t>
  </si>
  <si>
    <t>200541209,43</t>
  </si>
  <si>
    <t>220206307,40</t>
  </si>
  <si>
    <t>202559669,40</t>
  </si>
  <si>
    <t>236802308,99</t>
  </si>
  <si>
    <t>187834775,00</t>
  </si>
  <si>
    <t>212544328,25</t>
  </si>
  <si>
    <t>27151413,99</t>
  </si>
  <si>
    <t>905727539,85</t>
  </si>
  <si>
    <t>969369671,54</t>
  </si>
  <si>
    <t>912257885,36</t>
  </si>
  <si>
    <t>962314195,26</t>
  </si>
  <si>
    <t>580377058,37</t>
  </si>
  <si>
    <t>915113078,50</t>
  </si>
  <si>
    <t>43765999,32</t>
  </si>
  <si>
    <t>43782383,23</t>
  </si>
  <si>
    <t>Управление ЖКХ и строительства</t>
  </si>
  <si>
    <t>Связь с показателями муниципальной программы                                            (номер показателя, характеризующего результат реализации основного мероприятия)</t>
  </si>
  <si>
    <t>Управление ЖКХ и строительства (ФБ)</t>
  </si>
  <si>
    <t>Управление ЖКХ и строительства (РБ)</t>
  </si>
  <si>
    <t>Оплата труда</t>
  </si>
  <si>
    <t>Ликвидация чрезвычайной ситуации: ремонт кровли</t>
  </si>
  <si>
    <t>321Ю6 51790</t>
  </si>
  <si>
    <t>Оплата труда (вознаграждение)</t>
  </si>
  <si>
    <t xml:space="preserve">1.Обследование здания МБДОУ "ДС "Родничок"
</t>
  </si>
  <si>
    <t>муниципального района Республики Хакасия</t>
  </si>
  <si>
    <t xml:space="preserve">к постановлению Администрации  Усть-Абаканского </t>
  </si>
  <si>
    <t>Капитальный ремонт здания и оснащение Красноозерная ООШ, Усть-Бюрская СОШ, Усть-Абаканская СОШ</t>
  </si>
  <si>
    <t>2023-Земельный налог за участок под строительство детского сада в д.Чапаево; 2024-Пени по земельному налогу за участок под строительство детского сада в д.Чапаево</t>
  </si>
  <si>
    <t>2026- Капитальный ремонт здания и оснащение МБОУ "Усть-Бюрская СОШ", МБОУ "Усть-Абаканская СОШ им. М.Е. Орлова" корпус 2; 2027- Капитальный ремонт здания и оснащение МБОУ "Красноозерная ООШ", МБОУ "Усть-Бюрская СОШ", МБОУ "Усть-Абаканская СОШ им. М.Е. Орлова" корпус 2, МБОУ "Весенненская СОШ".</t>
  </si>
  <si>
    <t>Оснащение предметных кабинетов общеобразовательных учреждений средствами обучения и воспитания</t>
  </si>
  <si>
    <t>Устройство универсальной спортивной площадки (мини-футбол, волейбол) МБОУ "Чапаевская СОШ"</t>
  </si>
  <si>
    <t>Управление образования   (РБ)</t>
  </si>
  <si>
    <t>Капитальный ремонт и оснащение  МБДОУ "ДС "Звездочка"</t>
  </si>
  <si>
    <t>Приобретение теневых навесов, устройство брусчатки МБДОУ "ДС "Родничок"</t>
  </si>
  <si>
    <t>32103 03502</t>
  </si>
  <si>
    <t>Монтаж АУПС д/с Ромашка ; кап.ремонт эвакуационных выхода д/с Солнышко ; кап.ремонт канализации д/с Звездочка .</t>
  </si>
  <si>
    <t>Софинансирование на монтаж АУПС д/с Ромашка ; кап.ремонт эвакуационных выхода д/с Солнышко ; кап.ремонт канализации д/с Звездочка .</t>
  </si>
  <si>
    <t>32103 01990</t>
  </si>
  <si>
    <t>Мероприятие 1.1.8. "Реализация инициативного проекта "Родничок - территория счастливого и безопасного детства"</t>
  </si>
  <si>
    <t>32104 0000</t>
  </si>
  <si>
    <t>Основное мероприятие 1.2"Развитие начального общего, основного общего, среднего общего образования"</t>
  </si>
  <si>
    <t>Мероприятие 1.2.1 "Обеспечение деятельности подведомственных учреждений (Общеобразовательные организации)"</t>
  </si>
  <si>
    <t>Мероприятие 1.2.2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</si>
  <si>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Мероприятие 1.2.3 "Строительство, реконструкция объектов муниципальной собственности, в том числе разработка проектно-сметной документации"</t>
  </si>
  <si>
    <t>Мероприятие 1.2.4 "Капитальный ремонт в муниципальных учреждениях, в том числе проектно-сметная документация"</t>
  </si>
  <si>
    <t>Мероприятие 1.2.5 "Создание условий для обеспечения современного качества образования"</t>
  </si>
  <si>
    <t>Мероприятие 1.2.6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</si>
  <si>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1.2.7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</si>
  <si>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1.2.8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</si>
  <si>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1.2.9 "Приобретение жилья для специалистов с высшим педагогическим образованием"</t>
  </si>
  <si>
    <t>Мероприятие 1.2.10 "Реализация мероприятий по развитию общеобразовательных организаций"</t>
  </si>
  <si>
    <t>Мероприятие 1.2.11 "Реализация мероприятий по развитию общеобразовательных организаций (софинансирование)"</t>
  </si>
  <si>
    <t>Мероприятие 1.2.12 "Реализация мероприятий по предоставлению школьного питания"</t>
  </si>
  <si>
    <t>Мероприятие 1.2.13 "Реализация мероприятий по предоставлению школьного питания (софинансирование)"</t>
  </si>
  <si>
    <t>Мероприятие 1.2.14 "Укрепление материально-технической базы кабинетов хакасского языка в муниципальных общеобразовательных организациях"</t>
  </si>
  <si>
    <t>Мероприятие 1.2.15 "Укрепление материально-технической базы кабинетов хакасского языка в муниципальных общеобразовательных организациях (софинансирование)"</t>
  </si>
  <si>
    <t>Мероприятие 1.2.16 "Частичное погашение кредиторской задолженности"</t>
  </si>
  <si>
    <t>Мероприятие 1.2.17 "Частичное погашение кредиторской задолженности (софинансирование)"</t>
  </si>
  <si>
    <t>Мероприятие 1.2.18 "Организация бесплатного горячего питания обучающихся, получающих начальное общее образование в  муниципальных образовательных организациях ( в том числе софинансирование с республиканским бюджетом)"</t>
  </si>
  <si>
    <t xml:space="preserve">Мероприятие 1.2.19 "Реализация мероприятий по модернизации школьных систем образования (в том числе софинансирование с республиканским бюджетом)" </t>
  </si>
  <si>
    <t>Мероприятие 1.2.20 "Приобретение жилья для специалистов с высшим педагогическим образованием (софинансирование)"</t>
  </si>
  <si>
    <t>Основное мероприятие 1.3"Обеспечение условий развития сферы образования"</t>
  </si>
  <si>
    <t>Мероприятие 1.3.1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</si>
  <si>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r>
      <t>Мероприятие</t>
    </r>
    <r>
      <rPr>
        <sz val="12"/>
        <color rgb="FFFF0000"/>
        <rFont val="Times New Roman"/>
        <family val="1"/>
        <charset val="204"/>
      </rPr>
      <t xml:space="preserve"> </t>
    </r>
    <r>
      <rPr>
        <sz val="12"/>
        <color theme="1"/>
        <rFont val="Times New Roman"/>
        <family val="1"/>
        <charset val="204"/>
      </rPr>
      <t>1.3.3 "Органы местного самоуправления"</t>
    </r>
  </si>
  <si>
    <t>Мероприятие 1.3.4 "Органы местного самоуправления"</t>
  </si>
  <si>
    <t>Мероприятие 1.3.4.1 "Фонд оплаты труда муниципальных служащих"</t>
  </si>
  <si>
    <t>Мероприятие 1.3.4.2 "Фонд оплаты труда работников, замещающих должности, не являющиеся должностями муниципальной службы"</t>
  </si>
  <si>
    <t>Мероприятие 1.3.4.3. "Содержание органов местного управления"</t>
  </si>
  <si>
    <t>Мероптиятие 1.3.5. Поощрение соответствующих муниципальных управленческих команд, способствовавших достижению Республикой Хакасии в 2023 году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 источником финансового обеспечения которых является дотация (грант) из федерального бюджета</t>
  </si>
  <si>
    <t>Основное мероприятие 1.4 "Реализация инициативных проектов муниципального образования"</t>
  </si>
  <si>
    <t>Мероприятие 1.4.1 "Реализация  инициативноно проекта "Актовый зал школы - центр молодежных инициатив " МБОУ "Усть-Абаканская СОШ им.М.Е.Орлова"</t>
  </si>
  <si>
    <t>Мероприятие 1.4.2 "Реализация инициативного проекта "Родничок - территория счастливого и безопасного детства"</t>
  </si>
  <si>
    <t>Мероприятие 1.4.3 "Реализация инициативного поекта "Спортивная молодежь - сильная Россия""</t>
  </si>
  <si>
    <t>0702.</t>
  </si>
  <si>
    <t>32104 И2401</t>
  </si>
  <si>
    <t>0701.</t>
  </si>
  <si>
    <t>Основное мероприятие 1.5 "Региональный проект Республики Хакасия "Современная школа"</t>
  </si>
  <si>
    <t>Мероприятие 1.5.1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программам(центры образования естественнонаучно и технологической направленности) (в том числе софинансирование с республиканским бюджетом)</t>
  </si>
  <si>
    <t>Мероприятие 1.5.2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том числе софинансирование с республиканским бюджетом)"</t>
  </si>
  <si>
    <t>Мероприятие 1.5.3. "Реализация мероприятий по развитию общеобразовательных организаций (за счет средств целевой безвозмездной помощи)"</t>
  </si>
  <si>
    <t>Мероприятие 1.5.4. "Реализация мероприятий по развитию общеобразовательных организаций (софинансирование)"</t>
  </si>
  <si>
    <t>Основное мероприятие 1.6 "Региональный проект Республики Хакасия "Успех каждого ребенка"</t>
  </si>
  <si>
    <t>Мероприятие 1.6.1 "Создание в общеобразовательных организациях, расположенных в сельской местности, условий для занятий физической культурой и спортом (в том числе софинансирование с республиканским бюджетом)"</t>
  </si>
  <si>
    <t>Мероприятие 1.6.2 "Реализация мероприятий по развитию общеобразовательных организаций"</t>
  </si>
  <si>
    <t>Мероприятие 1.6.3 "Реализация мероприятий по развитию общеобразовательных организаций (софинансирование)"</t>
  </si>
  <si>
    <t>Мероприятие 1.6.4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том числе софинансирование с республиканским бюджетом)"</t>
  </si>
  <si>
    <t>Основное мероприятие 1.7 "Региональный проект Республики Хакасия "Цифровая образовательная среда"</t>
  </si>
  <si>
    <t>Мероприятие 1.7.1."Обеспечение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</si>
  <si>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Мероприятие 1.7.2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(в том числе софинансирование с республиканским бюджетом)"</t>
  </si>
  <si>
    <t>Мероприятие 1.7.3 "Реализация мероприятий по развитию общеобразовательных организаций"</t>
  </si>
  <si>
    <t>Мероприятие 1.7.4 "Реализация мероприятий по развитию общеобразовательных организаций (софинансирование)"</t>
  </si>
  <si>
    <t>Основное мероприятие 1.8 "Региональный проект Республики Хакасия "Патриотическое воспитание граждан Российской Федерации"</t>
  </si>
  <si>
    <t>Мероприятие 1.8.1.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софинансирование с республиканским бюджетом)"</t>
  </si>
  <si>
    <t>Мероприятие 1.8..2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(в том числе софинансирование с республиканским бюджетом)"</t>
  </si>
  <si>
    <t>Основное мероприятие 1.9 " Региональный проект "Все лучшее детям"</t>
  </si>
  <si>
    <t>Мероприятие 1.9.1 "Оснащение предметных кабинетов общеобразовательных организаций средствами обучения и воспитания (в том числе софинансирование  с республиканским бюджетом)</t>
  </si>
  <si>
    <t>Мероприятие 1.9.2 "Реализация мероприятий по модернизации школьных систем образования (в том числе софинансирование с республиканским бюджетом)"</t>
  </si>
  <si>
    <t>Основное мероприятие 1.10 "  Региональный проект "Педагоги и наставники"</t>
  </si>
  <si>
    <t>Мероприятие 1.10.1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</si>
  <si>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1.10.2 "Проведение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организацях (в том числе софинансирование с федеральным бюджетом)"</t>
  </si>
  <si>
    <t>Мероприятие 1.10.3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</si>
  <si>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Основное мероприятие 1.11" Региональный проект  "Поддержка семьи"</t>
  </si>
  <si>
    <t>Мероприятие 1.11.1 "Капитальный ремонт и оснащение образовательных организаций , осуществляющих образовательную деятельность  по образовательным программам дошкольного образования (в том числе софинансирование  с республиканским бюджетом)</t>
  </si>
  <si>
    <t>Первый заместитель Главы Администрации Усть-Абаканского муниципального района Республики Хакасия по финансам и экономике - руководитель Управления финансов и экономики администрации Усть-Абаканского района Республики Хакасия</t>
  </si>
  <si>
    <t>1. обучение по мерам пожарной безопасности; 2.приобретение огнетушителей ; 3. испытание пожарных кранов, лестниц ; 4. огнезащитная обработка кровли ; 5. тек.ремон блочно-модульной котельной Терморобот МБОУ "ДС" Калинка"</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</si>
  <si>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17.Разработка ПСД на проведене капитального ремонта здания МБОУ "Усть-Абаканская СОШ им. М.Е. Орлова" (корпус № 1)
</t>
  </si>
  <si>
    <t xml:space="preserve">1.обучение по мерам пожарной безопасности ;2. испытание ограждения кровли ; 3. проверка качества огнезащитной обработки; 4. испытание пожарных кранов; 5. испытание наружных лестниц ; 6. огнезащитная обработка кровли  ;  7. перекатка пожарных кранов;  8. приобретение огнетушителей ; 9. Приобретение котла  для котельной (терморобот) Весенненская СОШ ;10.  замена задвижек в школе, ремонт тепло узла Красноозерная ООШ ; 11. Приобретение пож.знаков Чапаевская СОШ; 12. Поставка насоса в котельную Весенненская СОШ.  13. Аварийно-восстановительный ремонт гаружной канализации : МБОУ "Расцветская СОШ, МБОУ "Калининская СОШ"; </t>
  </si>
  <si>
    <t xml:space="preserve">2022- Капитальный ремонт кровли здания МБДОУ "ЦРР-ДС "Аленушка"; Разработка проектной документация на капитальный ремонт кровли здания МБДОУ "ЦРР-ДС "Аленушка"; </t>
  </si>
  <si>
    <t xml:space="preserve">2022- Земельный налог за участок под строительство школы д.Чапаево; </t>
  </si>
  <si>
    <r>
      <t>2022-Капитальный ремонт кровли МБОУ "Весенненская СОШ"; Разработка проектной документации на капитальный ремонт  кровли МБОУ "Весенненская СОШ"; 2023-</t>
    </r>
    <r>
      <rPr>
        <sz val="12"/>
        <rFont val="Times New Roman"/>
        <family val="1"/>
        <charset val="204"/>
      </rPr>
      <t xml:space="preserve"> Разработка проектной документации на капитальный ремонт  кровли МБОУ "Доможаковская СОШ им. Н.Г. Доможакова".2025-экспертиза сметной стоимости капитального ремонта здания МБОУ «Усть-Абаканская СОШ (корпус № 2)»</t>
    </r>
  </si>
  <si>
    <t>Мероприятие 1.3.2 "Обеспечение деятельности подведомственных учреждений (Центр поддержки одаренных детей)"</t>
  </si>
  <si>
    <t>Мероприятие 1.3.4 "Обеспечение деятельности подведомственных учреждений (Муниципальное казенное учреждение "Центр психолого-педагогической, медицинской и социальной помошщи "ГРАНИЦ.НЕТ")</t>
  </si>
  <si>
    <t>от 14.08.2025    № 720 - п</t>
  </si>
  <si>
    <t xml:space="preserve"> </t>
  </si>
</sst>
</file>

<file path=xl/styles.xml><?xml version="1.0" encoding="utf-8"?>
<styleSheet xmlns="http://schemas.openxmlformats.org/spreadsheetml/2006/main">
  <numFmts count="1">
    <numFmt numFmtId="43" formatCode="_-* #,##0.00\ _₽_-;\-* #,##0.00\ _₽_-;_-* &quot;-&quot;??\ _₽_-;_-@_-"/>
  </numFmts>
  <fonts count="20">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
      <b/>
      <i/>
      <sz val="12"/>
      <name val="Times New Roman"/>
      <family val="1"/>
      <charset val="204"/>
    </font>
    <font>
      <sz val="11"/>
      <color rgb="FF9C6500"/>
      <name val="Calibri"/>
      <family val="2"/>
      <charset val="204"/>
      <scheme val="minor"/>
    </font>
    <font>
      <sz val="10"/>
      <color theme="1"/>
      <name val="Times New Roman"/>
      <family val="1"/>
      <charset val="204"/>
    </font>
    <font>
      <sz val="11"/>
      <color theme="1"/>
      <name val="Calibri"/>
      <family val="2"/>
      <charset val="204"/>
      <scheme val="minor"/>
    </font>
    <font>
      <b/>
      <sz val="10"/>
      <color theme="1"/>
      <name val="Times New Roman"/>
      <family val="1"/>
      <charset val="204"/>
    </font>
    <font>
      <i/>
      <sz val="10"/>
      <color theme="1"/>
      <name val="Times New Roman"/>
      <family val="1"/>
      <charset val="204"/>
    </font>
    <font>
      <sz val="12"/>
      <name val="Calibri"/>
      <family val="2"/>
      <charset val="204"/>
      <scheme val="minor"/>
    </font>
    <font>
      <sz val="12"/>
      <color rgb="FF9C6500"/>
      <name val="Calibri"/>
      <family val="2"/>
      <charset val="204"/>
      <scheme val="minor"/>
    </font>
    <font>
      <sz val="11"/>
      <color theme="1"/>
      <name val="Times New Roman"/>
      <family val="1"/>
      <charset val="204"/>
    </font>
  </fonts>
  <fills count="4">
    <fill>
      <patternFill patternType="none"/>
    </fill>
    <fill>
      <patternFill patternType="gray125"/>
    </fill>
    <fill>
      <patternFill patternType="solid">
        <fgColor rgb="FFFFEB9C"/>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12" fillId="2" borderId="0" applyNumberFormat="0" applyBorder="0" applyAlignment="0" applyProtection="0"/>
    <xf numFmtId="43" fontId="14" fillId="0" borderId="0" applyFont="0" applyFill="0" applyBorder="0" applyAlignment="0" applyProtection="0"/>
  </cellStyleXfs>
  <cellXfs count="174">
    <xf numFmtId="0" fontId="0" fillId="0" borderId="0" xfId="0"/>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49" fontId="2" fillId="0" borderId="1" xfId="0" applyNumberFormat="1" applyFont="1" applyBorder="1" applyAlignment="1">
      <alignment horizontal="center" vertical="top" wrapText="1"/>
    </xf>
    <xf numFmtId="0" fontId="3" fillId="0" borderId="1" xfId="0" applyFont="1" applyBorder="1" applyAlignment="1">
      <alignment horizontal="left" vertical="top"/>
    </xf>
    <xf numFmtId="49" fontId="1" fillId="0" borderId="1" xfId="0" applyNumberFormat="1" applyFont="1" applyBorder="1" applyAlignment="1">
      <alignment horizontal="left"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49" fontId="4" fillId="0" borderId="1" xfId="0" applyNumberFormat="1" applyFont="1" applyBorder="1" applyAlignment="1">
      <alignment horizontal="center" vertical="top" wrapText="1"/>
    </xf>
    <xf numFmtId="0" fontId="1" fillId="0" borderId="1" xfId="0" applyFont="1" applyBorder="1" applyAlignment="1">
      <alignment horizontal="left" vertical="top"/>
    </xf>
    <xf numFmtId="0" fontId="9" fillId="0" borderId="1" xfId="0" applyFont="1" applyBorder="1" applyAlignment="1">
      <alignment horizontal="left" vertical="top" wrapText="1"/>
    </xf>
    <xf numFmtId="49" fontId="1" fillId="0" borderId="2" xfId="0" applyNumberFormat="1" applyFont="1" applyBorder="1" applyAlignment="1">
      <alignment horizontal="center" vertical="top" wrapText="1"/>
    </xf>
    <xf numFmtId="0" fontId="1" fillId="0" borderId="1" xfId="0" applyFont="1" applyBorder="1" applyAlignment="1">
      <alignmen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1" fillId="0" borderId="1" xfId="0" applyFont="1" applyBorder="1" applyAlignment="1">
      <alignment horizontal="center" vertical="top" wrapText="1"/>
    </xf>
    <xf numFmtId="4" fontId="1" fillId="0" borderId="1" xfId="0" applyNumberFormat="1" applyFont="1" applyBorder="1" applyAlignment="1">
      <alignment horizontal="left" vertical="top"/>
    </xf>
    <xf numFmtId="0" fontId="4" fillId="0" borderId="1" xfId="0" applyFont="1" applyBorder="1" applyAlignment="1">
      <alignment vertical="top" wrapText="1"/>
    </xf>
    <xf numFmtId="4" fontId="2" fillId="0" borderId="1" xfId="0" applyNumberFormat="1" applyFont="1" applyBorder="1" applyAlignment="1">
      <alignment horizontal="right" vertical="top" wrapText="1" indent="1"/>
    </xf>
    <xf numFmtId="0" fontId="7" fillId="0" borderId="1" xfId="0" applyFont="1" applyBorder="1" applyAlignment="1">
      <alignment vertical="top" wrapText="1"/>
    </xf>
    <xf numFmtId="4" fontId="4" fillId="0" borderId="1" xfId="0" applyNumberFormat="1" applyFont="1" applyBorder="1" applyAlignment="1">
      <alignment horizontal="right" vertical="top" wrapText="1" indent="1"/>
    </xf>
    <xf numFmtId="1" fontId="1" fillId="0" borderId="1" xfId="0" applyNumberFormat="1" applyFont="1" applyBorder="1" applyAlignment="1">
      <alignment horizontal="center" vertical="center" wrapText="1"/>
    </xf>
    <xf numFmtId="4" fontId="2" fillId="0" borderId="1" xfId="0" applyNumberFormat="1" applyFont="1" applyBorder="1" applyAlignment="1">
      <alignment horizontal="right" vertical="top" inden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0" xfId="0" applyFont="1"/>
    <xf numFmtId="0" fontId="1" fillId="0" borderId="4" xfId="0" applyFont="1" applyBorder="1" applyAlignment="1">
      <alignment wrapText="1"/>
    </xf>
    <xf numFmtId="0" fontId="1" fillId="0" borderId="2" xfId="0" applyFont="1" applyBorder="1" applyAlignment="1">
      <alignment horizontal="left" vertical="top"/>
    </xf>
    <xf numFmtId="49" fontId="0" fillId="0" borderId="0" xfId="0" applyNumberFormat="1"/>
    <xf numFmtId="43" fontId="0" fillId="0" borderId="0" xfId="2" applyFont="1"/>
    <xf numFmtId="4" fontId="15" fillId="0" borderId="1" xfId="0" applyNumberFormat="1" applyFont="1" applyBorder="1" applyAlignment="1">
      <alignment horizontal="center" vertical="center" wrapText="1"/>
    </xf>
    <xf numFmtId="4" fontId="0" fillId="0" borderId="1" xfId="2" applyNumberFormat="1" applyFont="1" applyBorder="1"/>
    <xf numFmtId="0" fontId="0" fillId="0" borderId="1" xfId="0" applyBorder="1"/>
    <xf numFmtId="4" fontId="16"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4" fontId="0" fillId="0" borderId="1" xfId="0" applyNumberFormat="1" applyBorder="1"/>
    <xf numFmtId="49" fontId="0" fillId="0" borderId="1" xfId="0" applyNumberFormat="1" applyBorder="1"/>
    <xf numFmtId="43" fontId="0" fillId="0" borderId="1" xfId="2" applyFont="1" applyBorder="1"/>
    <xf numFmtId="49" fontId="1" fillId="0" borderId="0" xfId="0" applyNumberFormat="1" applyFont="1"/>
    <xf numFmtId="0" fontId="1" fillId="0" borderId="0" xfId="0" applyFont="1" applyAlignment="1">
      <alignment horizontal="center"/>
    </xf>
    <xf numFmtId="4" fontId="1" fillId="0" borderId="0" xfId="0" applyNumberFormat="1" applyFont="1" applyAlignment="1">
      <alignment horizontal="right"/>
    </xf>
    <xf numFmtId="0" fontId="1" fillId="0" borderId="0" xfId="0" applyFont="1" applyAlignment="1">
      <alignment horizontal="right"/>
    </xf>
    <xf numFmtId="0" fontId="3" fillId="0" borderId="0" xfId="0" applyFont="1" applyAlignment="1">
      <alignment horizontal="left"/>
    </xf>
    <xf numFmtId="0" fontId="3" fillId="0" borderId="0" xfId="0" applyFont="1"/>
    <xf numFmtId="49" fontId="3" fillId="0" borderId="0" xfId="0" applyNumberFormat="1" applyFont="1"/>
    <xf numFmtId="0" fontId="3" fillId="0" borderId="0" xfId="0" applyFont="1" applyAlignment="1">
      <alignment horizontal="center"/>
    </xf>
    <xf numFmtId="4" fontId="3" fillId="0" borderId="5" xfId="0" applyNumberFormat="1" applyFont="1" applyBorder="1" applyAlignment="1">
      <alignment horizontal="center"/>
    </xf>
    <xf numFmtId="4" fontId="3" fillId="0" borderId="0" xfId="0" applyNumberFormat="1" applyFont="1" applyAlignment="1">
      <alignment horizontal="right"/>
    </xf>
    <xf numFmtId="4" fontId="3" fillId="0" borderId="0" xfId="0" applyNumberFormat="1" applyFont="1"/>
    <xf numFmtId="43" fontId="3" fillId="0" borderId="0" xfId="0" applyNumberFormat="1" applyFont="1"/>
    <xf numFmtId="49" fontId="1" fillId="0" borderId="1" xfId="0" applyNumberFormat="1" applyFont="1" applyBorder="1" applyAlignment="1">
      <alignment horizontal="center" vertical="top"/>
    </xf>
    <xf numFmtId="0" fontId="3" fillId="0" borderId="1" xfId="0" applyFont="1" applyBorder="1"/>
    <xf numFmtId="0" fontId="3" fillId="0" borderId="1" xfId="0" applyFont="1" applyBorder="1" applyAlignment="1">
      <alignment horizontal="center" vertical="top"/>
    </xf>
    <xf numFmtId="0" fontId="3" fillId="0" borderId="0" xfId="0" applyFont="1" applyAlignment="1">
      <alignment wrapText="1"/>
    </xf>
    <xf numFmtId="0" fontId="3" fillId="0" borderId="0" xfId="0" applyFont="1" applyAlignment="1">
      <alignment horizontal="left" vertical="top"/>
    </xf>
    <xf numFmtId="0" fontId="3" fillId="0" borderId="0" xfId="0" applyFont="1" applyAlignment="1">
      <alignment vertical="top"/>
    </xf>
    <xf numFmtId="49" fontId="3" fillId="0" borderId="0" xfId="0" applyNumberFormat="1" applyFont="1" applyAlignment="1">
      <alignment vertical="top"/>
    </xf>
    <xf numFmtId="0" fontId="3" fillId="0" borderId="0" xfId="0" applyFont="1" applyAlignment="1">
      <alignment horizontal="center" vertical="top"/>
    </xf>
    <xf numFmtId="4" fontId="3" fillId="0" borderId="0" xfId="0" applyNumberFormat="1" applyFont="1" applyAlignment="1">
      <alignment horizontal="right" vertical="top"/>
    </xf>
    <xf numFmtId="0" fontId="1" fillId="0" borderId="0" xfId="0" applyFont="1" applyAlignment="1">
      <alignment horizontal="right" vertical="top"/>
    </xf>
    <xf numFmtId="0" fontId="1" fillId="0" borderId="0" xfId="0" applyFont="1" applyAlignment="1">
      <alignment horizontal="left" vertical="center"/>
    </xf>
    <xf numFmtId="4" fontId="11" fillId="0" borderId="1" xfId="0" applyNumberFormat="1" applyFont="1" applyBorder="1" applyAlignment="1">
      <alignment horizontal="right" vertical="top" wrapText="1" indent="1"/>
    </xf>
    <xf numFmtId="43" fontId="1" fillId="0" borderId="1" xfId="2" applyFont="1" applyFill="1" applyBorder="1" applyAlignment="1">
      <alignment horizontal="right" vertical="top"/>
    </xf>
    <xf numFmtId="0" fontId="18" fillId="0" borderId="0" xfId="1" applyFont="1" applyFill="1"/>
    <xf numFmtId="4" fontId="9" fillId="0" borderId="0" xfId="0" applyNumberFormat="1" applyFont="1" applyAlignment="1">
      <alignment horizontal="right"/>
    </xf>
    <xf numFmtId="0" fontId="9" fillId="0" borderId="0" xfId="0" applyFont="1" applyAlignment="1">
      <alignment horizontal="right"/>
    </xf>
    <xf numFmtId="4" fontId="17" fillId="0" borderId="5" xfId="0" applyNumberFormat="1" applyFont="1" applyBorder="1" applyAlignment="1">
      <alignment horizontal="center"/>
    </xf>
    <xf numFmtId="1" fontId="9" fillId="0" borderId="1" xfId="0" applyNumberFormat="1" applyFont="1" applyBorder="1" applyAlignment="1">
      <alignment horizontal="center" vertical="center" wrapText="1"/>
    </xf>
    <xf numFmtId="4" fontId="10" fillId="0" borderId="1" xfId="0" applyNumberFormat="1" applyFont="1" applyBorder="1" applyAlignment="1">
      <alignment horizontal="right" vertical="top" wrapText="1" indent="1"/>
    </xf>
    <xf numFmtId="43" fontId="1" fillId="0" borderId="1" xfId="2" applyFont="1" applyFill="1" applyBorder="1" applyAlignment="1">
      <alignment horizontal="center" vertical="top"/>
    </xf>
    <xf numFmtId="4" fontId="1" fillId="0" borderId="1" xfId="0" applyNumberFormat="1" applyFont="1" applyBorder="1" applyAlignment="1">
      <alignment horizontal="right" vertical="top"/>
    </xf>
    <xf numFmtId="4" fontId="17" fillId="0" borderId="0" xfId="0" applyNumberFormat="1" applyFont="1" applyAlignment="1">
      <alignment horizontal="right" vertical="top"/>
    </xf>
    <xf numFmtId="0" fontId="9" fillId="0" borderId="0" xfId="0" applyFont="1"/>
    <xf numFmtId="4" fontId="17" fillId="0" borderId="0" xfId="0" applyNumberFormat="1" applyFont="1" applyAlignment="1">
      <alignment horizontal="right"/>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applyAlignment="1">
      <alignment horizontal="left"/>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4" xfId="0" applyFont="1" applyBorder="1" applyAlignment="1">
      <alignment horizontal="center" vertical="center"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4" fontId="1" fillId="0" borderId="1" xfId="0" applyNumberFormat="1" applyFont="1" applyBorder="1" applyAlignment="1">
      <alignment horizontal="right" vertical="top" wrapText="1" indent="1"/>
    </xf>
    <xf numFmtId="4" fontId="9" fillId="0" borderId="1" xfId="0" applyNumberFormat="1" applyFont="1" applyBorder="1" applyAlignment="1">
      <alignment horizontal="right" vertical="top" wrapText="1" indent="1"/>
    </xf>
    <xf numFmtId="0" fontId="9" fillId="0" borderId="1" xfId="0" applyFont="1" applyBorder="1" applyAlignment="1">
      <alignment vertical="top" wrapText="1"/>
    </xf>
    <xf numFmtId="0" fontId="9" fillId="3" borderId="1" xfId="0" applyFont="1" applyFill="1" applyBorder="1" applyAlignment="1">
      <alignment vertical="top" wrapText="1"/>
    </xf>
    <xf numFmtId="4" fontId="1" fillId="3" borderId="1" xfId="0" applyNumberFormat="1" applyFont="1" applyFill="1" applyBorder="1" applyAlignment="1">
      <alignment horizontal="right" vertical="top" wrapText="1" indent="1"/>
    </xf>
    <xf numFmtId="4" fontId="11" fillId="3" borderId="1" xfId="0" applyNumberFormat="1" applyFont="1" applyFill="1" applyBorder="1" applyAlignment="1">
      <alignment horizontal="right" vertical="top" wrapText="1" indent="1"/>
    </xf>
    <xf numFmtId="0" fontId="1" fillId="0" borderId="0" xfId="0" applyFont="1" applyAlignment="1">
      <alignment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0" fontId="1" fillId="0" borderId="1" xfId="0" applyFont="1" applyBorder="1" applyAlignment="1">
      <alignment horizontal="left" vertical="top" wrapText="1"/>
    </xf>
    <xf numFmtId="0" fontId="1" fillId="3" borderId="1" xfId="0"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4" fontId="9" fillId="3" borderId="1" xfId="0" applyNumberFormat="1" applyFont="1" applyFill="1" applyBorder="1" applyAlignment="1">
      <alignment horizontal="right" vertical="top" wrapText="1" indent="1"/>
    </xf>
    <xf numFmtId="0" fontId="1" fillId="3" borderId="4" xfId="0" applyFont="1" applyFill="1" applyBorder="1" applyAlignment="1">
      <alignment horizontal="center" vertical="top" wrapText="1"/>
    </xf>
    <xf numFmtId="0" fontId="3" fillId="3" borderId="0" xfId="0" applyFont="1" applyFill="1"/>
    <xf numFmtId="0" fontId="1" fillId="3" borderId="1" xfId="0" applyFont="1" applyFill="1" applyBorder="1" applyAlignment="1">
      <alignmen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0" fontId="1"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49" fontId="4" fillId="3" borderId="1" xfId="0" applyNumberFormat="1" applyFont="1" applyFill="1" applyBorder="1" applyAlignment="1">
      <alignment horizontal="center" vertical="top" wrapText="1"/>
    </xf>
    <xf numFmtId="4" fontId="10" fillId="3" borderId="1" xfId="0" applyNumberFormat="1" applyFont="1" applyFill="1" applyBorder="1" applyAlignment="1">
      <alignment horizontal="right" vertical="top" wrapText="1" indent="1"/>
    </xf>
    <xf numFmtId="0" fontId="3" fillId="3" borderId="0" xfId="0" applyFont="1" applyFill="1" applyAlignment="1">
      <alignment horizontal="left"/>
    </xf>
    <xf numFmtId="0" fontId="1" fillId="3" borderId="1" xfId="0" applyNumberFormat="1" applyFont="1" applyFill="1" applyBorder="1" applyAlignment="1">
      <alignment horizontal="center" vertical="top" wrapText="1"/>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3" xfId="0" applyFont="1" applyBorder="1" applyAlignment="1">
      <alignment horizontal="left" vertical="top"/>
    </xf>
    <xf numFmtId="0" fontId="19" fillId="0" borderId="1" xfId="0" applyFont="1" applyFill="1" applyBorder="1" applyAlignment="1">
      <alignment wrapText="1"/>
    </xf>
    <xf numFmtId="0" fontId="1" fillId="0" borderId="1" xfId="0" applyFont="1" applyFill="1" applyBorder="1" applyAlignment="1">
      <alignment horizontal="left" vertical="top" wrapText="1"/>
    </xf>
    <xf numFmtId="0" fontId="19" fillId="0" borderId="1" xfId="0" applyFont="1" applyFill="1" applyBorder="1" applyAlignment="1">
      <alignment horizontal="center" vertical="top"/>
    </xf>
    <xf numFmtId="49" fontId="19" fillId="0" borderId="1" xfId="0" applyNumberFormat="1" applyFont="1" applyFill="1" applyBorder="1" applyAlignment="1">
      <alignment horizontal="center" vertical="top"/>
    </xf>
    <xf numFmtId="0" fontId="19" fillId="0" borderId="1" xfId="0" applyFont="1" applyFill="1" applyBorder="1"/>
    <xf numFmtId="4" fontId="19" fillId="3" borderId="1" xfId="0" applyNumberFormat="1" applyFont="1" applyFill="1" applyBorder="1" applyAlignment="1">
      <alignment horizontal="right" vertical="top" wrapText="1"/>
    </xf>
    <xf numFmtId="0" fontId="19" fillId="0" borderId="1" xfId="0" applyFont="1" applyFill="1" applyBorder="1" applyAlignment="1">
      <alignment horizontal="left" vertical="top"/>
    </xf>
    <xf numFmtId="4" fontId="4" fillId="0" borderId="1" xfId="0" applyNumberFormat="1" applyFont="1" applyFill="1" applyBorder="1" applyAlignment="1">
      <alignment horizontal="right" vertical="top" wrapText="1" indent="1"/>
    </xf>
    <xf numFmtId="0" fontId="1" fillId="0" borderId="2" xfId="0" applyFont="1" applyFill="1" applyBorder="1" applyAlignment="1">
      <alignment horizontal="left" vertical="top" wrapText="1"/>
    </xf>
    <xf numFmtId="0" fontId="1" fillId="0" borderId="1" xfId="0"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right" vertical="top" wrapText="1" indent="1"/>
    </xf>
    <xf numFmtId="4" fontId="9" fillId="0" borderId="1" xfId="0" applyNumberFormat="1" applyFont="1" applyFill="1" applyBorder="1" applyAlignment="1">
      <alignment horizontal="right" vertical="top" wrapText="1" indent="1"/>
    </xf>
    <xf numFmtId="4" fontId="2" fillId="0" borderId="1" xfId="0" applyNumberFormat="1" applyFont="1" applyFill="1" applyBorder="1" applyAlignment="1">
      <alignment horizontal="right" vertical="top" wrapText="1" indent="1"/>
    </xf>
    <xf numFmtId="4" fontId="1" fillId="0" borderId="0" xfId="0" applyNumberFormat="1" applyFont="1" applyFill="1" applyAlignment="1">
      <alignment horizontal="right"/>
    </xf>
    <xf numFmtId="0" fontId="1" fillId="0" borderId="0" xfId="0" applyFont="1" applyFill="1" applyAlignment="1">
      <alignment horizontal="right"/>
    </xf>
    <xf numFmtId="4" fontId="3" fillId="0" borderId="5" xfId="0" applyNumberFormat="1" applyFont="1" applyFill="1" applyBorder="1" applyAlignment="1">
      <alignment horizontal="center"/>
    </xf>
    <xf numFmtId="1"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right" vertical="top" indent="1"/>
    </xf>
    <xf numFmtId="4" fontId="11" fillId="0" borderId="1" xfId="0" applyNumberFormat="1" applyFont="1" applyFill="1" applyBorder="1" applyAlignment="1">
      <alignment horizontal="right" vertical="top" wrapText="1" indent="1"/>
    </xf>
    <xf numFmtId="4" fontId="10" fillId="0" borderId="1" xfId="0" applyNumberFormat="1" applyFont="1" applyFill="1" applyBorder="1" applyAlignment="1">
      <alignment horizontal="right" vertical="top" wrapText="1" indent="1"/>
    </xf>
    <xf numFmtId="0" fontId="3" fillId="0" borderId="1" xfId="0" applyFont="1" applyFill="1" applyBorder="1"/>
    <xf numFmtId="4" fontId="3" fillId="0" borderId="0" xfId="0" applyNumberFormat="1" applyFont="1" applyFill="1" applyAlignment="1">
      <alignment horizontal="right" vertical="top"/>
    </xf>
    <xf numFmtId="4" fontId="3" fillId="0" borderId="0" xfId="0" applyNumberFormat="1" applyFont="1" applyFill="1" applyAlignment="1">
      <alignment horizontal="right"/>
    </xf>
    <xf numFmtId="0" fontId="1" fillId="0" borderId="0" xfId="0" applyFont="1" applyFill="1"/>
    <xf numFmtId="0" fontId="1" fillId="0" borderId="1"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3" borderId="2"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left" wrapText="1"/>
    </xf>
    <xf numFmtId="0" fontId="4" fillId="0" borderId="3" xfId="0" applyFont="1" applyBorder="1" applyAlignment="1">
      <alignment horizontal="left" vertical="top" wrapText="1"/>
    </xf>
    <xf numFmtId="0" fontId="1" fillId="0" borderId="0" xfId="0" applyFont="1" applyAlignment="1">
      <alignment horizontal="left" vertical="top" wrapText="1"/>
    </xf>
    <xf numFmtId="0" fontId="2"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1" fillId="0" borderId="0" xfId="0" applyFont="1" applyAlignment="1">
      <alignment horizontal="left"/>
    </xf>
    <xf numFmtId="0" fontId="2" fillId="0" borderId="0" xfId="0" applyFont="1" applyAlignment="1">
      <alignment horizontal="center" vertical="center"/>
    </xf>
    <xf numFmtId="0" fontId="1" fillId="0" borderId="0" xfId="0" applyFont="1" applyAlignment="1">
      <alignment horizontal="left" vertical="top"/>
    </xf>
    <xf numFmtId="0" fontId="1" fillId="0" borderId="1" xfId="0" applyFont="1" applyBorder="1" applyAlignment="1">
      <alignment horizontal="center" vertical="center" wrapText="1"/>
    </xf>
    <xf numFmtId="4" fontId="2" fillId="0" borderId="0" xfId="0" applyNumberFormat="1" applyFont="1" applyAlignment="1">
      <alignment horizontal="center"/>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cellXfs>
  <cellStyles count="3">
    <cellStyle name="Нейтральный" xfId="1" builtinId="28"/>
    <cellStyle name="Обычный" xfId="0" builtinId="0"/>
    <cellStyle name="Финансовый" xfId="2" builtinId="3"/>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V166"/>
  <sheetViews>
    <sheetView tabSelected="1" view="pageBreakPreview" zoomScale="80" zoomScaleNormal="80" zoomScaleSheetLayoutView="80" workbookViewId="0">
      <selection activeCell="H7" sqref="H7"/>
    </sheetView>
  </sheetViews>
  <sheetFormatPr defaultColWidth="9.140625" defaultRowHeight="15.75"/>
  <cols>
    <col min="1" max="1" width="49.140625" style="43" customWidth="1"/>
    <col min="2" max="2" width="21.42578125" style="43" customWidth="1"/>
    <col min="3" max="4" width="9.140625" style="44" hidden="1" customWidth="1"/>
    <col min="5" max="5" width="16.85546875" style="45" hidden="1" customWidth="1"/>
    <col min="6" max="6" width="0.140625" style="46" customWidth="1"/>
    <col min="7" max="7" width="19.85546875" style="48" customWidth="1"/>
    <col min="8" max="8" width="20" style="48" customWidth="1"/>
    <col min="9" max="9" width="21.140625" style="74" customWidth="1"/>
    <col min="10" max="10" width="22.140625" style="139" customWidth="1"/>
    <col min="11" max="11" width="22.5703125" style="48" customWidth="1"/>
    <col min="12" max="12" width="22.140625" style="48" customWidth="1"/>
    <col min="13" max="13" width="63" style="43" customWidth="1"/>
    <col min="14" max="14" width="16" style="43" hidden="1" customWidth="1"/>
    <col min="15" max="15" width="16.42578125" style="44" customWidth="1"/>
    <col min="16" max="16" width="22.42578125" style="44" customWidth="1"/>
    <col min="17" max="17" width="25.42578125" style="44" customWidth="1"/>
    <col min="18" max="18" width="19.140625" style="44" customWidth="1"/>
    <col min="19" max="19" width="22.140625" style="44" customWidth="1"/>
    <col min="20" max="20" width="16.7109375" style="44" customWidth="1"/>
    <col min="21" max="16384" width="9.140625" style="44"/>
  </cols>
  <sheetData>
    <row r="1" spans="1:22" s="26" customFormat="1">
      <c r="A1" s="78"/>
      <c r="B1" s="78"/>
      <c r="E1" s="39"/>
      <c r="F1" s="40"/>
      <c r="G1" s="41"/>
      <c r="H1" s="41"/>
      <c r="I1" s="65"/>
      <c r="J1" s="130"/>
      <c r="K1" s="41"/>
      <c r="L1" s="41"/>
      <c r="M1" s="160" t="s">
        <v>41</v>
      </c>
      <c r="N1" s="160"/>
    </row>
    <row r="2" spans="1:22" s="26" customFormat="1">
      <c r="A2" s="78"/>
      <c r="B2" s="78"/>
      <c r="E2" s="39"/>
      <c r="F2" s="40"/>
      <c r="G2" s="41"/>
      <c r="H2" s="41"/>
      <c r="I2" s="65"/>
      <c r="J2" s="130"/>
      <c r="K2" s="41"/>
      <c r="L2" s="41"/>
      <c r="M2" s="26" t="s">
        <v>225</v>
      </c>
    </row>
    <row r="3" spans="1:22" s="26" customFormat="1" ht="16.5" customHeight="1">
      <c r="A3" s="78"/>
      <c r="B3" s="78"/>
      <c r="E3" s="39"/>
      <c r="F3" s="40"/>
      <c r="G3" s="42"/>
      <c r="H3" s="42"/>
      <c r="I3" s="66"/>
      <c r="J3" s="131"/>
      <c r="K3" s="42"/>
      <c r="L3" s="42"/>
      <c r="M3" s="93" t="s">
        <v>224</v>
      </c>
      <c r="N3" s="93"/>
    </row>
    <row r="4" spans="1:22" s="26" customFormat="1">
      <c r="A4" s="78"/>
      <c r="B4" s="78"/>
      <c r="E4" s="39"/>
      <c r="F4" s="40"/>
      <c r="G4" s="42"/>
      <c r="H4" s="42"/>
      <c r="I4" s="66"/>
      <c r="J4" s="131"/>
      <c r="K4" s="42"/>
      <c r="L4" s="42"/>
      <c r="M4" s="160" t="s">
        <v>312</v>
      </c>
      <c r="N4" s="160"/>
    </row>
    <row r="5" spans="1:22" s="26" customFormat="1">
      <c r="A5" s="78"/>
      <c r="B5" s="78"/>
      <c r="E5" s="39"/>
      <c r="F5" s="40"/>
      <c r="G5" s="42"/>
      <c r="H5" s="42"/>
      <c r="I5" s="66"/>
      <c r="J5" s="131"/>
      <c r="K5" s="42"/>
      <c r="L5" s="42"/>
      <c r="M5" s="78"/>
      <c r="N5" s="78"/>
    </row>
    <row r="6" spans="1:22" s="26" customFormat="1" ht="19.5" customHeight="1">
      <c r="A6" s="78" t="s">
        <v>115</v>
      </c>
      <c r="B6" s="78"/>
      <c r="E6" s="39"/>
      <c r="F6" s="40"/>
      <c r="G6" s="42"/>
      <c r="H6" s="42"/>
      <c r="I6" s="66"/>
      <c r="J6" s="131"/>
      <c r="K6" s="42"/>
      <c r="L6" s="42"/>
      <c r="M6" s="162" t="s">
        <v>114</v>
      </c>
      <c r="N6" s="162"/>
    </row>
    <row r="7" spans="1:22" s="26" customFormat="1" ht="40.5" customHeight="1">
      <c r="A7" s="78"/>
      <c r="B7" s="78"/>
      <c r="E7" s="39"/>
      <c r="F7" s="40"/>
      <c r="G7" s="42"/>
      <c r="H7" s="42" t="s">
        <v>313</v>
      </c>
      <c r="I7" s="66"/>
      <c r="J7" s="131"/>
      <c r="K7" s="42"/>
      <c r="L7" s="42"/>
      <c r="M7" s="155" t="s">
        <v>76</v>
      </c>
      <c r="N7" s="155"/>
    </row>
    <row r="8" spans="1:22" s="26" customFormat="1">
      <c r="A8" s="78"/>
      <c r="B8" s="78"/>
      <c r="E8" s="39"/>
      <c r="F8" s="40"/>
      <c r="G8" s="42"/>
      <c r="H8" s="42"/>
      <c r="I8" s="66"/>
      <c r="J8" s="131"/>
      <c r="K8" s="42"/>
      <c r="L8" s="42"/>
      <c r="M8" s="78"/>
      <c r="N8" s="78"/>
    </row>
    <row r="9" spans="1:22" s="26" customFormat="1" ht="27.75" customHeight="1">
      <c r="A9" s="161" t="s">
        <v>77</v>
      </c>
      <c r="B9" s="161"/>
      <c r="C9" s="161"/>
      <c r="D9" s="161"/>
      <c r="E9" s="161"/>
      <c r="F9" s="161"/>
      <c r="G9" s="161"/>
      <c r="H9" s="161"/>
      <c r="I9" s="161"/>
      <c r="J9" s="161"/>
      <c r="K9" s="161"/>
      <c r="L9" s="161"/>
      <c r="M9" s="161"/>
      <c r="N9" s="161"/>
    </row>
    <row r="10" spans="1:22">
      <c r="A10" s="164" t="s">
        <v>78</v>
      </c>
      <c r="B10" s="164"/>
      <c r="C10" s="164"/>
      <c r="D10" s="164"/>
      <c r="E10" s="164"/>
      <c r="F10" s="164"/>
      <c r="G10" s="164"/>
      <c r="H10" s="164"/>
      <c r="I10" s="164"/>
      <c r="J10" s="164"/>
      <c r="K10" s="164"/>
      <c r="L10" s="164"/>
      <c r="M10" s="164"/>
    </row>
    <row r="11" spans="1:22">
      <c r="G11" s="47"/>
      <c r="H11" s="47"/>
      <c r="I11" s="67"/>
      <c r="J11" s="132"/>
      <c r="K11" s="47"/>
    </row>
    <row r="12" spans="1:22" ht="30" customHeight="1">
      <c r="A12" s="163" t="s">
        <v>116</v>
      </c>
      <c r="B12" s="163" t="s">
        <v>117</v>
      </c>
      <c r="C12" s="168" t="s">
        <v>0</v>
      </c>
      <c r="D12" s="168"/>
      <c r="E12" s="168"/>
      <c r="F12" s="168"/>
      <c r="G12" s="165" t="s">
        <v>79</v>
      </c>
      <c r="H12" s="166"/>
      <c r="I12" s="166"/>
      <c r="J12" s="166"/>
      <c r="K12" s="166"/>
      <c r="L12" s="167"/>
      <c r="M12" s="163" t="s">
        <v>31</v>
      </c>
      <c r="N12" s="163" t="s">
        <v>216</v>
      </c>
      <c r="Q12" s="49"/>
      <c r="R12" s="49"/>
      <c r="S12" s="49"/>
      <c r="T12" s="49"/>
    </row>
    <row r="13" spans="1:22" ht="44.25" customHeight="1">
      <c r="A13" s="163"/>
      <c r="B13" s="163"/>
      <c r="C13" s="77" t="s">
        <v>1</v>
      </c>
      <c r="D13" s="77" t="s">
        <v>2</v>
      </c>
      <c r="E13" s="2" t="s">
        <v>3</v>
      </c>
      <c r="F13" s="77" t="s">
        <v>4</v>
      </c>
      <c r="G13" s="22">
        <v>2022</v>
      </c>
      <c r="H13" s="22">
        <v>2023</v>
      </c>
      <c r="I13" s="68">
        <v>2024</v>
      </c>
      <c r="J13" s="133">
        <v>2025</v>
      </c>
      <c r="K13" s="22">
        <v>2026</v>
      </c>
      <c r="L13" s="22">
        <v>2027</v>
      </c>
      <c r="M13" s="163"/>
      <c r="N13" s="163"/>
    </row>
    <row r="14" spans="1:22" ht="16.5" customHeight="1">
      <c r="A14" s="77">
        <v>1</v>
      </c>
      <c r="B14" s="77">
        <v>2</v>
      </c>
      <c r="C14" s="77">
        <v>4</v>
      </c>
      <c r="D14" s="77">
        <v>5</v>
      </c>
      <c r="E14" s="2">
        <v>6</v>
      </c>
      <c r="F14" s="77">
        <v>7</v>
      </c>
      <c r="G14" s="22">
        <v>3</v>
      </c>
      <c r="H14" s="22">
        <v>4</v>
      </c>
      <c r="I14" s="68">
        <v>5</v>
      </c>
      <c r="J14" s="133">
        <v>6</v>
      </c>
      <c r="K14" s="22">
        <v>7</v>
      </c>
      <c r="L14" s="22">
        <v>8</v>
      </c>
      <c r="M14" s="22">
        <v>9</v>
      </c>
      <c r="N14" s="22">
        <v>15</v>
      </c>
    </row>
    <row r="15" spans="1:22" ht="67.5" customHeight="1">
      <c r="A15" s="156" t="s">
        <v>80</v>
      </c>
      <c r="B15" s="76" t="s">
        <v>84</v>
      </c>
      <c r="C15" s="3" t="s">
        <v>5</v>
      </c>
      <c r="D15" s="3" t="s">
        <v>5</v>
      </c>
      <c r="E15" s="4" t="s">
        <v>5</v>
      </c>
      <c r="F15" s="3" t="s">
        <v>5</v>
      </c>
      <c r="G15" s="23">
        <f t="shared" ref="G15:L15" si="0">G16+G17+G18</f>
        <v>1180012416.73</v>
      </c>
      <c r="H15" s="23">
        <f t="shared" si="0"/>
        <v>1307409855.9300001</v>
      </c>
      <c r="I15" s="23">
        <f t="shared" si="0"/>
        <v>1433259669.8700001</v>
      </c>
      <c r="J15" s="134">
        <f>J16+J17+J18</f>
        <v>1379006551.54</v>
      </c>
      <c r="K15" s="23">
        <f t="shared" si="0"/>
        <v>1376003283.9499998</v>
      </c>
      <c r="L15" s="23">
        <f t="shared" si="0"/>
        <v>1551104031.53</v>
      </c>
      <c r="M15" s="17"/>
      <c r="N15" s="169" t="s">
        <v>59</v>
      </c>
      <c r="O15" s="49"/>
      <c r="P15" s="45"/>
      <c r="Q15" s="49"/>
      <c r="R15" s="49"/>
      <c r="T15" s="49"/>
    </row>
    <row r="16" spans="1:22" ht="31.5">
      <c r="A16" s="156"/>
      <c r="B16" s="6" t="s">
        <v>85</v>
      </c>
      <c r="C16" s="3"/>
      <c r="D16" s="3"/>
      <c r="E16" s="4"/>
      <c r="F16" s="3"/>
      <c r="G16" s="87">
        <f>G43+G44+G55+G60+G77+G85+G88+G94+G99+G105+G106+G112+G114+G118+G121+G125+G128+G150</f>
        <v>72686301</v>
      </c>
      <c r="H16" s="87">
        <f>H43+H44+H55+H60+H77+H85+H88+H94+H99+H105+H106+H112+H114+H118+H121+H125+H128+H150</f>
        <v>91801230.25999999</v>
      </c>
      <c r="I16" s="87">
        <f>I43+I44+I55+I60+I77+I85+I88+I94+I99+I105+I106+I112+I114+I118+I121+I125+I128+I150</f>
        <v>150186033.76000002</v>
      </c>
      <c r="J16" s="127">
        <f>J43+J44+J55+J60+J77+J85+J88+J94+J99+J105+J106+J112+J114+J118+J121+J125+J128+J150+J130+J126</f>
        <v>119545101.56999999</v>
      </c>
      <c r="K16" s="87">
        <f>K43+K44+K55+K60+K77+K85+K88+K94+K99+K105+K106+K112+K114+K118+K121+K125+K128+K150+K130</f>
        <v>158336431</v>
      </c>
      <c r="L16" s="87">
        <f>L43+L44+L55+L60+L77+L85+L88+L94+L99+L105+L106+L112+L114+L118+L121+L125+L128+L150+L130</f>
        <v>352053711</v>
      </c>
      <c r="M16" s="17"/>
      <c r="N16" s="170"/>
      <c r="O16" s="49"/>
      <c r="P16" s="49"/>
      <c r="Q16" s="49"/>
      <c r="R16" s="49"/>
      <c r="S16" s="49"/>
      <c r="T16" s="49"/>
      <c r="U16" s="49"/>
      <c r="V16" s="49"/>
    </row>
    <row r="17" spans="1:19" ht="32.25" customHeight="1">
      <c r="A17" s="156"/>
      <c r="B17" s="6" t="s">
        <v>86</v>
      </c>
      <c r="C17" s="3"/>
      <c r="D17" s="3"/>
      <c r="E17" s="4"/>
      <c r="F17" s="3"/>
      <c r="G17" s="87">
        <f>G29+G30+G45+G46+G47+G49+G51+G53+G56+G59+G82+G86+G89+G91+G95+G97+G100+G104+G107+G109+G113+G115+G119+G122+G138+G151</f>
        <v>695654919.63</v>
      </c>
      <c r="H17" s="87">
        <f>H29+H30+H45+H46+H47+H49+H51+H53+H56+H59+H82+H86+H89+H91+H95+H97+H100+H104+H107+H109+H113+H115+H119+H122+H138+H151</f>
        <v>805398983.12</v>
      </c>
      <c r="I17" s="87">
        <f>I29+I30+I45+I46+I47+I49+I51+I53+I56+I59+I82+I86+I89+I91+I95+I97+I100+I104+I107+I109+I113+I115+I119+I122+I138+I151+I32+P78+I36</f>
        <v>863939884.03999996</v>
      </c>
      <c r="J17" s="127">
        <f>J29+J30+J45+J46+J47+J49+J51+J53+J56+J59+J82+J86+J89+J91+J95+J97+J100+J104+J107+J109+J113+J115+J119+J122+J138+J151+J32+Q78+J36+J80+J127</f>
        <v>874604881.95000005</v>
      </c>
      <c r="K17" s="87">
        <f>K29+K30+K45+K46+K47+K49+K51+K53+K56+K59+K82+K86+K89+K91+K95+K97+K100+K104+K107+K109+K113+K115+K119+K122+K138+K151+K32+R78+K36+K80+K127+K131</f>
        <v>859004540.3599999</v>
      </c>
      <c r="L17" s="87">
        <f>L29+L30+L45+L46+L47+L49+L51+L53+L56+L59+L82+L86+L89+L91+L95+L97+L100+L104+L107+L109+L113+L115+L119+L122+L138+L151+L32+S78+L36+L80+L127</f>
        <v>880930755.37</v>
      </c>
      <c r="M17" s="17"/>
      <c r="N17" s="170"/>
      <c r="O17" s="49"/>
      <c r="P17" s="49"/>
      <c r="Q17" s="49"/>
      <c r="R17" s="49"/>
      <c r="S17" s="49"/>
    </row>
    <row r="18" spans="1:19">
      <c r="A18" s="156"/>
      <c r="B18" s="6" t="s">
        <v>87</v>
      </c>
      <c r="C18" s="3"/>
      <c r="D18" s="3"/>
      <c r="E18" s="4"/>
      <c r="F18" s="3"/>
      <c r="G18" s="87">
        <f>G24+G25+G26+G27+G28+G31+G35+G37+G38+G39+G40+G41+G42+G48+G50+G52+G54+G57+G58+G61+G63+G64+G65+G66+G67+G68+G71+G72+G74+G76+G79+G83+G87+G90+G92+G96+G98+G101+G103+G108+G110+G116+G120+G123+G135+G136+G137+G139+G140+G142+G143+G145+G146+G147+G148+G152+G155+G156+G157+G158+G159+G161</f>
        <v>411671196.10000002</v>
      </c>
      <c r="H18" s="87">
        <f>H24+H25+H26+H27+H28+H31+H35+H37+H38+H39+H40+H41+H42+H48+H50+H52+H54+H57+H58+H61+H63+H64+H65+H66+H67+H68+H71+H72+H74+H76+H79+H83+H87+H90+H92+H96+H98+H101+H103+H108+H110+H116+H120+H123+H135+H136+H137+H139+H140+H142+H143+H145+H146+H147+H148+H152+H155+H156+H157+H158+H159+H161</f>
        <v>410209642.55000001</v>
      </c>
      <c r="I18" s="87">
        <f>I24+I25+I26+I27+I28+I31+I35+I37+I38+I39+I40+I41+I42+I48+I50+I52+I54+I57+I58+I61+I63+I64+I65+I66+I67+I68+I71+I72+I74+I76+I79+I83+I87+I90+I92+I96+I98+I101+I103+I108+I110+I116+I120+I123+I135+I136+I137+I139+I140+I142+I143+I145+I146+I147+I148+I152+I155+I156+I157+I158+I159+I161+I33</f>
        <v>419133752.07000011</v>
      </c>
      <c r="J18" s="127">
        <f>J24+J25+J26+J27+J28+J31+J35+J37+J38+J39+J40+J41+J42+J48+J50+J52+J54+J57+J58+J61+J63+J64+J65+J66+J67+J68+J71+J72+J74+J76+J79+J83+J87+J90+J92+J96+J98+J101+J103+J108+J110+J116+J120+J123+J135+J136+J137+J139+J140+J142+J143+J145+J146+J147+J148+J152+J155+J156+J157+J158+J159+J161+J33+J69+J70+J75</f>
        <v>384856568.02000004</v>
      </c>
      <c r="K18" s="87">
        <f>K24+K25+K26+K27+K28+K31+K35+K37+K38+K39+K40+K41+K42+K48+K50+K52+K54+K57+K58+K61+K63+K64+K65+K66+K67+K68+K71+K72+K74+K76+K79+K83+K87+K90+K92+K96+K98+K101+K103+K108+K110+K116+K120+K123+K135+K136+K137+K139+K140+K142+K143+K145+K146+K147+K148+K152+K155+K156+K157+K158+K159+K161+K33+K69+K70+K75+K132</f>
        <v>358662312.59000003</v>
      </c>
      <c r="L18" s="87">
        <f>L24+L25+L26+L27+L28+L31+L35+L37+L38+L39+L40+L41+L42+L48+L50+L52+L54+L57+L58+L61+L63+L64+L65+L66+L67+L68+L71+L72+L74+L76+L79+L83+L87+L90+L92+L96+L98+L101+L103+L108+L110+L116+L120+L123+L135+L136+L137+L139+L140+L142+L143+L145+L146+L147+L148+L152+L155+L156+L157+L158+L159+L161+L33+L69+L70+L75</f>
        <v>318119565.16000009</v>
      </c>
      <c r="M18" s="17"/>
      <c r="N18" s="170"/>
      <c r="O18" s="49"/>
      <c r="P18" s="49"/>
    </row>
    <row r="19" spans="1:19" ht="31.5">
      <c r="A19" s="156"/>
      <c r="B19" s="75" t="s">
        <v>43</v>
      </c>
      <c r="C19" s="16" t="s">
        <v>6</v>
      </c>
      <c r="D19" s="16" t="s">
        <v>5</v>
      </c>
      <c r="E19" s="1" t="s">
        <v>5</v>
      </c>
      <c r="F19" s="16" t="s">
        <v>5</v>
      </c>
      <c r="G19" s="87">
        <f>G24++G26+G28+G29++G30+G31+G38+G40+G41+G42+G43+G44+G45+G46+G47+G48+G49+G50+G51+G53+G54+G55+G56+G58+G59+G60+G61+G63+G64+G66+G67++G68+G71++G72++G76+G77+G79+G82+G83+G85+G86+G87++G88+G89+G91++G92+G94+G95+G96+G97+G98+G99+G100+G101+G103+G104+G105+G107+G114+G115+G108+G109+G110+G112+G113+G116+G118+G119+G120+G125+G128+G136+G138+G139+G142+G143+G145+G146+G147+G148+G150+G151+G152+G159+G161+G57+G52+G35+G65+G106+G90+G74</f>
        <v>1128848442.75</v>
      </c>
      <c r="H19" s="87">
        <f>H24++H26+H28+H29++H30+H31+H38+H40+H41+H42+H43+H44+H45+H46+H47+H48+H49+H50+H51+H53+H54+H55+H56+H58+H59+H60+H61+H63+H64+H66+H67++H68+H71++H72++H76+H77+H79+H82+H83+H85+H86+H87++H88+H89+H91++H92+H94+H95+H96+H97+H98+H99+H100+H101+H103+H104+H105+H107+H114+H115+H108+H109+H110+H112+H113+H116+H118+H119+H120+H125+H128+H136+H138+H139+H142+H143+H145+H146+H147+H148+H150+H151+H152+H159+H161+H57+H52+H35+H65+H106+H90+H74</f>
        <v>1252919250.3300004</v>
      </c>
      <c r="I19" s="87">
        <f>I24++I26+I28+I29++I30+I31+I38+I40+I41+I42+I43+I44+I45+I46+I47+I48+I49+I50+I51+I53+I54+I55+I56+I58+I59+I60+I61+I63+I64+I66+I67++I68+I71++I72++I76+I77+I79+I82+I83+I85+I86+I87++I88+I89+I91++I92+I94+I95+I96+I97+I98+I99+I100+I101+I103+I104+I105+I107+I114+I115+I108+I109+I110+I112+I113+I116+I118+I119+I120+I125+I128+I136+I138+I139+I142+I143+I145+I146+I147+I148+I150+I151+I152+I159+I161+I57+I52+I35+I65+I106+I90+I74+I32+I33+I36</f>
        <v>1433099663.0799997</v>
      </c>
      <c r="J19" s="127">
        <f>J24++J26+J28+J29++J30+J31+J38+J40+J41+J42+J43+J44+J45+J46+J47+J48+J49+J50+J51+J53+J54+J55+J56+J58+J59+J60+J61+J63+J64+J66+J67++J68+J71++J72++J76+J77+J79+J82+J83+J85+J86+J87++J88+J89+J91++J92+J94+J95+J96+J97+J98+J99+J100+J101+J103+J104+J105+J107+J114+J115+J108+J109+J110+J112+J113+J116+J118+J119+J120+J125+J128+J136+J138+J139+J142+J143+J145+J146+J147+J148+J150+J151+J152+J159+J161+J57+J52+J35+J65+J106+J90+J74+J69+J70+J80+J126+J127+J75</f>
        <v>1378165751.5399995</v>
      </c>
      <c r="K19" s="87">
        <f>K24++K26+K28+K29++K30+K31+K38+K40+K41+K42+K43+K44+K45+K46+K47+K48+K49+K50+K51+K53+K54+K55+K56+K58+K59+K60+K61+K63+K64+K66+K67++K68+K71++K72++K76+K77+K79+K82+K83+K85+K86+K87++K88+K89+K91++K92+K94+K95+K96+K97+K98+K99+K100+K101+K103+K104+K105+K107+K114+K115+K108+K109+K110+K112+K113+K116+K118+K119+K120+K125+K128+K136+K138+K139+K142+K143+K145+K146+K147+K148+K150+K151+K152+K159+K161+K57+K52+K35+K65+K106+K90+K74+K69+K70+K80+K126+K127+K75+ K130+K131+K132</f>
        <v>1350597672.2700002</v>
      </c>
      <c r="L19" s="87">
        <f>L24++L26+L28+L29++L30+L31+L38+L40+L41+L42+L43+L44+L45+L46+L47+L48+L49+L50+L51+L53+L54+L55+L56+L58+L59+L60+L61+L63+L64+L66+L67++L68+L71++L72++L76+L77+L79+L82+L83+L85+L86+L87++L88+L89+L91++L92+L94+L95+L96+L97+L98+L99+L100+L101+L103+L104+L105+L107+L114+L115+L108+L109+L110+L112+L113+L116+L118+L119+L120+L125+L128+L136+L138+L139+L142+L143+L145+L146+L147+L148+L150+L151+L152+L159+L161+L57+L52+L35+L65+L106+L90+L74+L69+L70+L80+L126+L127+L75+ L130+L131+L132</f>
        <v>1275758565.7700002</v>
      </c>
      <c r="M19" s="10"/>
      <c r="N19" s="170"/>
      <c r="P19" s="49"/>
    </row>
    <row r="20" spans="1:19" ht="33.75" customHeight="1">
      <c r="A20" s="156"/>
      <c r="B20" s="75" t="s">
        <v>215</v>
      </c>
      <c r="C20" s="16" t="s">
        <v>7</v>
      </c>
      <c r="D20" s="16" t="s">
        <v>5</v>
      </c>
      <c r="E20" s="1" t="s">
        <v>5</v>
      </c>
      <c r="F20" s="16" t="s">
        <v>5</v>
      </c>
      <c r="G20" s="87">
        <f t="shared" ref="G20:L20" si="1">G25+G27+G37+G39+G121+G122+G123</f>
        <v>7769636.9299999997</v>
      </c>
      <c r="H20" s="87">
        <f t="shared" si="1"/>
        <v>671750</v>
      </c>
      <c r="I20" s="87">
        <f t="shared" si="1"/>
        <v>6.79</v>
      </c>
      <c r="J20" s="127">
        <f t="shared" si="1"/>
        <v>690000</v>
      </c>
      <c r="K20" s="127">
        <f t="shared" si="1"/>
        <v>25405611.68</v>
      </c>
      <c r="L20" s="87">
        <f t="shared" si="1"/>
        <v>275235465.76000005</v>
      </c>
      <c r="M20" s="10"/>
      <c r="N20" s="170"/>
      <c r="P20" s="49"/>
    </row>
    <row r="21" spans="1:19" ht="20.25" customHeight="1">
      <c r="A21" s="156"/>
      <c r="B21" s="75" t="s">
        <v>49</v>
      </c>
      <c r="C21" s="16" t="s">
        <v>8</v>
      </c>
      <c r="D21" s="16" t="s">
        <v>5</v>
      </c>
      <c r="E21" s="1" t="s">
        <v>5</v>
      </c>
      <c r="F21" s="16" t="s">
        <v>5</v>
      </c>
      <c r="G21" s="87">
        <f t="shared" ref="G21:L21" si="2">G135+G137+G140+G155+G156+G157+G158</f>
        <v>43394337.049999997</v>
      </c>
      <c r="H21" s="87">
        <f t="shared" si="2"/>
        <v>53818855.600000001</v>
      </c>
      <c r="I21" s="87">
        <f t="shared" si="2"/>
        <v>160000</v>
      </c>
      <c r="J21" s="127">
        <f t="shared" si="2"/>
        <v>150800</v>
      </c>
      <c r="K21" s="87">
        <f t="shared" si="2"/>
        <v>0</v>
      </c>
      <c r="L21" s="87">
        <f t="shared" si="2"/>
        <v>110000</v>
      </c>
      <c r="M21" s="10"/>
      <c r="N21" s="171"/>
      <c r="P21" s="49"/>
    </row>
    <row r="22" spans="1:19" ht="52.5" customHeight="1">
      <c r="A22" s="76" t="s">
        <v>81</v>
      </c>
      <c r="B22" s="75"/>
      <c r="C22" s="16"/>
      <c r="D22" s="16"/>
      <c r="E22" s="4" t="s">
        <v>10</v>
      </c>
      <c r="F22" s="16"/>
      <c r="G22" s="19">
        <f t="shared" ref="G22:L22" si="3">G23+G34+G62+G84+G93+G102+G78+G111+G117+G124+G129</f>
        <v>1114160099.6799998</v>
      </c>
      <c r="H22" s="19">
        <f t="shared" si="3"/>
        <v>1230511905.97</v>
      </c>
      <c r="I22" s="129">
        <f t="shared" si="3"/>
        <v>1396670190.7899997</v>
      </c>
      <c r="J22" s="129">
        <f t="shared" si="3"/>
        <v>1347238331.75</v>
      </c>
      <c r="K22" s="129">
        <f t="shared" si="3"/>
        <v>1342855036.1600001</v>
      </c>
      <c r="L22" s="19">
        <f t="shared" si="3"/>
        <v>1520842783.74</v>
      </c>
      <c r="M22" s="10"/>
      <c r="N22" s="5"/>
      <c r="O22" s="49"/>
      <c r="P22" s="50"/>
      <c r="Q22" s="50"/>
      <c r="R22" s="50"/>
      <c r="S22" s="49"/>
    </row>
    <row r="23" spans="1:19" ht="51" customHeight="1">
      <c r="A23" s="7" t="s">
        <v>82</v>
      </c>
      <c r="B23" s="7"/>
      <c r="C23" s="8"/>
      <c r="D23" s="8"/>
      <c r="E23" s="9" t="s">
        <v>11</v>
      </c>
      <c r="F23" s="8" t="s">
        <v>9</v>
      </c>
      <c r="G23" s="21">
        <f>SUM(G24:G31)</f>
        <v>209760216.15000001</v>
      </c>
      <c r="H23" s="21">
        <f>SUM(H24:H31)</f>
        <v>221256749.78</v>
      </c>
      <c r="I23" s="21">
        <f>SUM(I24:I33)</f>
        <v>239254075.82999998</v>
      </c>
      <c r="J23" s="123">
        <f>SUM(J24:J31)</f>
        <v>234303903.16</v>
      </c>
      <c r="K23" s="123">
        <f>SUM(K24:K31)</f>
        <v>209650895</v>
      </c>
      <c r="L23" s="21">
        <f>SUM(L24:L31)</f>
        <v>212544328.25</v>
      </c>
      <c r="M23" s="10"/>
      <c r="N23" s="5"/>
      <c r="O23" s="49"/>
      <c r="P23" s="49"/>
      <c r="Q23" s="49"/>
      <c r="R23" s="49"/>
    </row>
    <row r="24" spans="1:19" ht="81.75" customHeight="1">
      <c r="A24" s="75" t="s">
        <v>83</v>
      </c>
      <c r="B24" s="75" t="s">
        <v>43</v>
      </c>
      <c r="C24" s="16">
        <v>904</v>
      </c>
      <c r="D24" s="16">
        <v>701</v>
      </c>
      <c r="E24" s="1" t="s">
        <v>12</v>
      </c>
      <c r="F24" s="16">
        <v>611</v>
      </c>
      <c r="G24" s="87">
        <v>57316415.020000003</v>
      </c>
      <c r="H24" s="87">
        <v>64255431</v>
      </c>
      <c r="I24" s="88">
        <f>68205579.31+2965459.97+194703.04+164900+1122027.61</f>
        <v>72652669.930000007</v>
      </c>
      <c r="J24" s="127">
        <f>69345850.4+7490241.05+483090.86</f>
        <v>77319182.310000002</v>
      </c>
      <c r="K24" s="87">
        <v>61688160</v>
      </c>
      <c r="L24" s="87">
        <v>64625950.25</v>
      </c>
      <c r="M24" s="75" t="s">
        <v>96</v>
      </c>
      <c r="N24" s="141" t="s">
        <v>60</v>
      </c>
    </row>
    <row r="25" spans="1:19" ht="84" customHeight="1">
      <c r="A25" s="113" t="s">
        <v>88</v>
      </c>
      <c r="B25" s="113" t="s">
        <v>215</v>
      </c>
      <c r="C25" s="16">
        <v>910</v>
      </c>
      <c r="D25" s="16">
        <v>701</v>
      </c>
      <c r="E25" s="1" t="s">
        <v>40</v>
      </c>
      <c r="F25" s="16">
        <v>414</v>
      </c>
      <c r="G25" s="87"/>
      <c r="H25" s="87">
        <v>72750</v>
      </c>
      <c r="I25" s="88">
        <f>7-0.21</f>
        <v>6.79</v>
      </c>
      <c r="J25" s="127"/>
      <c r="K25" s="87"/>
      <c r="L25" s="87"/>
      <c r="M25" s="75" t="s">
        <v>227</v>
      </c>
      <c r="N25" s="141"/>
    </row>
    <row r="26" spans="1:19" ht="54" customHeight="1">
      <c r="A26" s="141" t="s">
        <v>132</v>
      </c>
      <c r="B26" s="75" t="s">
        <v>43</v>
      </c>
      <c r="C26" s="16">
        <v>904</v>
      </c>
      <c r="D26" s="16">
        <v>701</v>
      </c>
      <c r="E26" s="1" t="s">
        <v>13</v>
      </c>
      <c r="F26" s="16">
        <v>612</v>
      </c>
      <c r="G26" s="87">
        <v>752335.58</v>
      </c>
      <c r="H26" s="87"/>
      <c r="I26" s="88">
        <f>360000+1611952.24+340000</f>
        <v>2311952.2400000002</v>
      </c>
      <c r="J26" s="127">
        <f>150000+150000+553.85</f>
        <v>300553.84999999998</v>
      </c>
      <c r="K26" s="87"/>
      <c r="L26" s="87"/>
      <c r="M26" s="11" t="s">
        <v>223</v>
      </c>
      <c r="N26" s="141"/>
    </row>
    <row r="27" spans="1:19" ht="78.75" customHeight="1">
      <c r="A27" s="141"/>
      <c r="B27" s="75" t="s">
        <v>215</v>
      </c>
      <c r="C27" s="16">
        <v>910</v>
      </c>
      <c r="D27" s="16">
        <v>701</v>
      </c>
      <c r="E27" s="1" t="s">
        <v>13</v>
      </c>
      <c r="F27" s="16">
        <v>243</v>
      </c>
      <c r="G27" s="87">
        <v>2983722</v>
      </c>
      <c r="H27" s="87"/>
      <c r="I27" s="88">
        <f>3600000-3600000</f>
        <v>0</v>
      </c>
      <c r="J27" s="127"/>
      <c r="K27" s="87"/>
      <c r="L27" s="87"/>
      <c r="M27" s="11" t="s">
        <v>307</v>
      </c>
      <c r="N27" s="141"/>
    </row>
    <row r="28" spans="1:19" ht="84.75" customHeight="1">
      <c r="A28" s="114" t="s">
        <v>133</v>
      </c>
      <c r="B28" s="114" t="s">
        <v>43</v>
      </c>
      <c r="C28" s="16">
        <v>904</v>
      </c>
      <c r="D28" s="16">
        <v>701</v>
      </c>
      <c r="E28" s="1" t="s">
        <v>14</v>
      </c>
      <c r="F28" s="16">
        <v>612</v>
      </c>
      <c r="G28" s="87">
        <v>12387926.550000001</v>
      </c>
      <c r="H28" s="87">
        <v>8028221.7800000003</v>
      </c>
      <c r="I28" s="88">
        <f>4319714.72+3490000-1611952.24+729453.76+561697.5+465095.85+440544.63+711326</f>
        <v>9105880.2199999988</v>
      </c>
      <c r="J28" s="127">
        <f>299355+29131+180781</f>
        <v>509267</v>
      </c>
      <c r="K28" s="87">
        <v>300000</v>
      </c>
      <c r="L28" s="87">
        <v>300000</v>
      </c>
      <c r="M28" s="89" t="s">
        <v>304</v>
      </c>
      <c r="N28" s="141"/>
    </row>
    <row r="29" spans="1:19" ht="89.25" customHeight="1">
      <c r="A29" s="75" t="s">
        <v>134</v>
      </c>
      <c r="B29" s="75" t="s">
        <v>44</v>
      </c>
      <c r="C29" s="16">
        <v>904</v>
      </c>
      <c r="D29" s="16" t="s">
        <v>54</v>
      </c>
      <c r="E29" s="1" t="s">
        <v>15</v>
      </c>
      <c r="F29" s="16">
        <v>611</v>
      </c>
      <c r="G29" s="87">
        <v>134279000</v>
      </c>
      <c r="H29" s="87">
        <v>145633000</v>
      </c>
      <c r="I29" s="88">
        <f>138583000+2748097.26+10929000</f>
        <v>152260097.25999999</v>
      </c>
      <c r="J29" s="127">
        <f>148613000+7510000</f>
        <v>156123000</v>
      </c>
      <c r="K29" s="87">
        <v>146364000</v>
      </c>
      <c r="L29" s="87">
        <v>146969000</v>
      </c>
      <c r="M29" s="75" t="s">
        <v>97</v>
      </c>
      <c r="N29" s="141"/>
    </row>
    <row r="30" spans="1:19" ht="47.25">
      <c r="A30" s="75" t="s">
        <v>135</v>
      </c>
      <c r="B30" s="75" t="s">
        <v>44</v>
      </c>
      <c r="C30" s="16">
        <v>904</v>
      </c>
      <c r="D30" s="16" t="s">
        <v>54</v>
      </c>
      <c r="E30" s="1" t="s">
        <v>55</v>
      </c>
      <c r="F30" s="16">
        <v>612</v>
      </c>
      <c r="G30" s="87">
        <v>2000000</v>
      </c>
      <c r="H30" s="87">
        <v>3202000</v>
      </c>
      <c r="I30" s="88">
        <f>3513000-3000000</f>
        <v>513000</v>
      </c>
      <c r="J30" s="127">
        <f>1539000-1488138</f>
        <v>50862</v>
      </c>
      <c r="K30" s="87">
        <v>1026000</v>
      </c>
      <c r="L30" s="87">
        <v>513000</v>
      </c>
      <c r="M30" s="90" t="s">
        <v>235</v>
      </c>
      <c r="N30" s="75"/>
    </row>
    <row r="31" spans="1:19" ht="52.5" customHeight="1">
      <c r="A31" s="75" t="s">
        <v>136</v>
      </c>
      <c r="B31" s="75" t="s">
        <v>52</v>
      </c>
      <c r="C31" s="16">
        <v>904</v>
      </c>
      <c r="D31" s="16" t="s">
        <v>54</v>
      </c>
      <c r="E31" s="1" t="s">
        <v>56</v>
      </c>
      <c r="F31" s="16">
        <v>612</v>
      </c>
      <c r="G31" s="87">
        <v>40817</v>
      </c>
      <c r="H31" s="87">
        <v>65347</v>
      </c>
      <c r="I31" s="88">
        <f>71694-61224.61</f>
        <v>10469.39</v>
      </c>
      <c r="J31" s="127">
        <f>409102-408064</f>
        <v>1038</v>
      </c>
      <c r="K31" s="87">
        <v>272735</v>
      </c>
      <c r="L31" s="87">
        <v>136378</v>
      </c>
      <c r="M31" s="75" t="s">
        <v>236</v>
      </c>
      <c r="N31" s="75"/>
    </row>
    <row r="32" spans="1:19" s="101" customFormat="1" ht="39.75" customHeight="1">
      <c r="A32" s="172" t="s">
        <v>238</v>
      </c>
      <c r="B32" s="124" t="s">
        <v>44</v>
      </c>
      <c r="C32" s="125"/>
      <c r="D32" s="125"/>
      <c r="E32" s="126"/>
      <c r="F32" s="125"/>
      <c r="G32" s="127"/>
      <c r="H32" s="127"/>
      <c r="I32" s="128">
        <v>2000000</v>
      </c>
      <c r="J32" s="127"/>
      <c r="K32" s="91"/>
      <c r="L32" s="91"/>
      <c r="M32" s="148" t="s">
        <v>233</v>
      </c>
      <c r="N32" s="100"/>
    </row>
    <row r="33" spans="1:14" s="101" customFormat="1" ht="37.5" customHeight="1">
      <c r="A33" s="173"/>
      <c r="B33" s="124" t="s">
        <v>43</v>
      </c>
      <c r="C33" s="125"/>
      <c r="D33" s="125"/>
      <c r="E33" s="126"/>
      <c r="F33" s="125"/>
      <c r="G33" s="127"/>
      <c r="H33" s="127"/>
      <c r="I33" s="128">
        <v>400000</v>
      </c>
      <c r="J33" s="127"/>
      <c r="K33" s="91"/>
      <c r="L33" s="91"/>
      <c r="M33" s="149"/>
      <c r="N33" s="100"/>
    </row>
    <row r="34" spans="1:14" ht="60" customHeight="1">
      <c r="A34" s="7" t="s">
        <v>240</v>
      </c>
      <c r="B34" s="7"/>
      <c r="C34" s="8"/>
      <c r="D34" s="8"/>
      <c r="E34" s="9" t="s">
        <v>16</v>
      </c>
      <c r="F34" s="8"/>
      <c r="G34" s="21">
        <f t="shared" ref="G34:L34" si="4">SUM(G35:G61)</f>
        <v>846847726.52999997</v>
      </c>
      <c r="H34" s="21">
        <f t="shared" si="4"/>
        <v>928872840.97000003</v>
      </c>
      <c r="I34" s="21">
        <f t="shared" si="4"/>
        <v>1088965965.5099998</v>
      </c>
      <c r="J34" s="123">
        <f t="shared" si="4"/>
        <v>974671134.80000007</v>
      </c>
      <c r="K34" s="21">
        <f t="shared" si="4"/>
        <v>962314195.25999999</v>
      </c>
      <c r="L34" s="21">
        <f t="shared" si="4"/>
        <v>915113078.5</v>
      </c>
      <c r="M34" s="10"/>
      <c r="N34" s="10"/>
    </row>
    <row r="35" spans="1:14" ht="78" customHeight="1">
      <c r="A35" s="75" t="s">
        <v>241</v>
      </c>
      <c r="B35" s="75" t="s">
        <v>43</v>
      </c>
      <c r="C35" s="16">
        <v>904</v>
      </c>
      <c r="D35" s="16">
        <v>702</v>
      </c>
      <c r="E35" s="1" t="s">
        <v>17</v>
      </c>
      <c r="F35" s="16">
        <v>611</v>
      </c>
      <c r="G35" s="87">
        <v>164160928.19</v>
      </c>
      <c r="H35" s="87">
        <v>176053531.90000001</v>
      </c>
      <c r="I35" s="88">
        <f>190389363.88+7374201.05+592811.36+247354.29-1315830-397000</f>
        <v>196890900.58000001</v>
      </c>
      <c r="J35" s="127">
        <f>206814581.78+4973319.5-299886.51</f>
        <v>211488014.77000001</v>
      </c>
      <c r="K35" s="87">
        <v>209172272.44999999</v>
      </c>
      <c r="L35" s="87">
        <v>166947669.22999999</v>
      </c>
      <c r="M35" s="75" t="s">
        <v>98</v>
      </c>
      <c r="N35" s="28"/>
    </row>
    <row r="36" spans="1:14" ht="93.75" customHeight="1">
      <c r="A36" s="116" t="s">
        <v>242</v>
      </c>
      <c r="B36" s="117" t="s">
        <v>44</v>
      </c>
      <c r="C36" s="118">
        <v>904</v>
      </c>
      <c r="D36" s="118">
        <v>702</v>
      </c>
      <c r="E36" s="119" t="s">
        <v>167</v>
      </c>
      <c r="F36" s="120"/>
      <c r="G36" s="120"/>
      <c r="H36" s="120"/>
      <c r="I36" s="121">
        <f>859375.07</f>
        <v>859375.07</v>
      </c>
      <c r="J36" s="120"/>
      <c r="K36" s="120"/>
      <c r="L36" s="120"/>
      <c r="M36" s="122" t="s">
        <v>168</v>
      </c>
      <c r="N36" s="115"/>
    </row>
    <row r="37" spans="1:14" ht="82.5" customHeight="1">
      <c r="A37" s="113" t="s">
        <v>243</v>
      </c>
      <c r="B37" s="75" t="s">
        <v>215</v>
      </c>
      <c r="C37" s="16">
        <v>910</v>
      </c>
      <c r="D37" s="16">
        <v>702</v>
      </c>
      <c r="E37" s="1" t="s">
        <v>57</v>
      </c>
      <c r="F37" s="16">
        <v>850</v>
      </c>
      <c r="G37" s="87">
        <v>21050</v>
      </c>
      <c r="H37" s="87"/>
      <c r="I37" s="88"/>
      <c r="J37" s="127"/>
      <c r="K37" s="87"/>
      <c r="L37" s="87"/>
      <c r="M37" s="75" t="s">
        <v>308</v>
      </c>
      <c r="N37" s="143"/>
    </row>
    <row r="38" spans="1:14" ht="339.75" customHeight="1">
      <c r="A38" s="141" t="s">
        <v>244</v>
      </c>
      <c r="B38" s="114" t="s">
        <v>43</v>
      </c>
      <c r="C38" s="16">
        <v>904</v>
      </c>
      <c r="D38" s="16">
        <v>702</v>
      </c>
      <c r="E38" s="1" t="s">
        <v>18</v>
      </c>
      <c r="F38" s="16">
        <v>612</v>
      </c>
      <c r="G38" s="87">
        <v>229197.95</v>
      </c>
      <c r="H38" s="87">
        <v>315449.67</v>
      </c>
      <c r="I38" s="88">
        <f>12592491.84+133356+261836.46</f>
        <v>12987684.300000001</v>
      </c>
      <c r="J38" s="127">
        <f>214684.51+150000</f>
        <v>364684.51</v>
      </c>
      <c r="K38" s="87">
        <v>0</v>
      </c>
      <c r="L38" s="87">
        <v>0</v>
      </c>
      <c r="M38" s="75" t="s">
        <v>305</v>
      </c>
      <c r="N38" s="143"/>
    </row>
    <row r="39" spans="1:14" ht="36.75" customHeight="1">
      <c r="A39" s="141"/>
      <c r="B39" s="114" t="s">
        <v>215</v>
      </c>
      <c r="C39" s="16">
        <v>910</v>
      </c>
      <c r="D39" s="16">
        <v>702</v>
      </c>
      <c r="E39" s="1" t="s">
        <v>18</v>
      </c>
      <c r="F39" s="16">
        <v>243</v>
      </c>
      <c r="G39" s="87">
        <v>4764864.93</v>
      </c>
      <c r="H39" s="87">
        <v>599000</v>
      </c>
      <c r="I39" s="88"/>
      <c r="J39" s="127">
        <v>690000</v>
      </c>
      <c r="K39" s="87"/>
      <c r="L39" s="87"/>
      <c r="M39" s="75" t="s">
        <v>309</v>
      </c>
      <c r="N39" s="143"/>
    </row>
    <row r="40" spans="1:14" ht="201.75" customHeight="1">
      <c r="A40" s="145" t="s">
        <v>245</v>
      </c>
      <c r="B40" s="75"/>
      <c r="C40" s="84"/>
      <c r="D40" s="84"/>
      <c r="E40" s="12"/>
      <c r="F40" s="84"/>
      <c r="G40" s="87">
        <v>57341389.460000001</v>
      </c>
      <c r="H40" s="87">
        <v>32391126.399999999</v>
      </c>
      <c r="I40" s="88">
        <f>28169619.68-10889507.84+550000+2000000+2881004.72+6734676.78+2488054.69+3947433.4+2988674</f>
        <v>38869955.43</v>
      </c>
      <c r="J40" s="127">
        <f>3376945-352500-179131-65238.36+542424.51</f>
        <v>3322500.1500000004</v>
      </c>
      <c r="K40" s="87">
        <v>4000000</v>
      </c>
      <c r="L40" s="87">
        <v>4000000</v>
      </c>
      <c r="M40" s="75" t="s">
        <v>306</v>
      </c>
      <c r="N40" s="143"/>
    </row>
    <row r="41" spans="1:14" ht="88.5" customHeight="1">
      <c r="A41" s="146"/>
      <c r="B41" s="141" t="s">
        <v>43</v>
      </c>
      <c r="C41" s="84">
        <v>904</v>
      </c>
      <c r="D41" s="84">
        <v>702</v>
      </c>
      <c r="E41" s="12" t="s">
        <v>19</v>
      </c>
      <c r="F41" s="84">
        <v>612</v>
      </c>
      <c r="G41" s="87">
        <v>155000</v>
      </c>
      <c r="H41" s="87">
        <v>258000</v>
      </c>
      <c r="I41" s="88">
        <f>431659.96+20084.07</f>
        <v>451744.03</v>
      </c>
      <c r="J41" s="127">
        <v>230000</v>
      </c>
      <c r="K41" s="87">
        <v>230000</v>
      </c>
      <c r="L41" s="87">
        <v>230000</v>
      </c>
      <c r="M41" s="75" t="s">
        <v>99</v>
      </c>
      <c r="N41" s="143"/>
    </row>
    <row r="42" spans="1:14" ht="25.5" customHeight="1">
      <c r="A42" s="146"/>
      <c r="B42" s="141"/>
      <c r="C42" s="16">
        <v>904</v>
      </c>
      <c r="D42" s="16">
        <v>709</v>
      </c>
      <c r="E42" s="1" t="s">
        <v>19</v>
      </c>
      <c r="F42" s="16">
        <v>244</v>
      </c>
      <c r="G42" s="87">
        <v>5000</v>
      </c>
      <c r="H42" s="87"/>
      <c r="I42" s="88">
        <v>30000</v>
      </c>
      <c r="J42" s="127"/>
      <c r="K42" s="87"/>
      <c r="L42" s="87"/>
      <c r="M42" s="75" t="s">
        <v>175</v>
      </c>
      <c r="N42" s="143"/>
    </row>
    <row r="43" spans="1:14" ht="209.25" customHeight="1">
      <c r="A43" s="27" t="s">
        <v>246</v>
      </c>
      <c r="B43" s="75" t="s">
        <v>47</v>
      </c>
      <c r="C43" s="16">
        <v>904</v>
      </c>
      <c r="D43" s="16">
        <v>702</v>
      </c>
      <c r="E43" s="1" t="s">
        <v>173</v>
      </c>
      <c r="F43" s="16"/>
      <c r="G43" s="87"/>
      <c r="H43" s="87"/>
      <c r="I43" s="88">
        <v>333312</v>
      </c>
      <c r="J43" s="127"/>
      <c r="K43" s="87"/>
      <c r="L43" s="87"/>
      <c r="M43" s="75" t="s">
        <v>174</v>
      </c>
      <c r="N43" s="143"/>
    </row>
    <row r="44" spans="1:14" ht="86.25" customHeight="1">
      <c r="A44" s="75" t="s">
        <v>247</v>
      </c>
      <c r="B44" s="75" t="s">
        <v>47</v>
      </c>
      <c r="C44" s="16">
        <v>904</v>
      </c>
      <c r="D44" s="16" t="s">
        <v>65</v>
      </c>
      <c r="E44" s="1" t="s">
        <v>66</v>
      </c>
      <c r="F44" s="16">
        <v>612</v>
      </c>
      <c r="G44" s="87">
        <v>36000000</v>
      </c>
      <c r="H44" s="87">
        <v>36705000</v>
      </c>
      <c r="I44" s="88">
        <f>38748000+5555000+23617000-4929224.85</f>
        <v>62990775.149999999</v>
      </c>
      <c r="J44" s="127"/>
      <c r="K44" s="87"/>
      <c r="L44" s="87"/>
      <c r="M44" s="75" t="s">
        <v>100</v>
      </c>
      <c r="N44" s="143"/>
    </row>
    <row r="45" spans="1:14" ht="153.75" customHeight="1">
      <c r="A45" s="75" t="s">
        <v>248</v>
      </c>
      <c r="B45" s="75" t="s">
        <v>44</v>
      </c>
      <c r="C45" s="16">
        <v>904</v>
      </c>
      <c r="D45" s="16">
        <v>702</v>
      </c>
      <c r="E45" s="1" t="s">
        <v>20</v>
      </c>
      <c r="F45" s="16">
        <v>611</v>
      </c>
      <c r="G45" s="87">
        <v>542562000</v>
      </c>
      <c r="H45" s="87">
        <v>615827000</v>
      </c>
      <c r="I45" s="88">
        <f>637610000+12098426.81+27291000</f>
        <v>676999426.80999994</v>
      </c>
      <c r="J45" s="127">
        <f>702279000-628000</f>
        <v>701651000</v>
      </c>
      <c r="K45" s="87">
        <v>702279000</v>
      </c>
      <c r="L45" s="87">
        <v>702279000</v>
      </c>
      <c r="M45" s="75" t="s">
        <v>101</v>
      </c>
      <c r="N45" s="143"/>
    </row>
    <row r="46" spans="1:14" ht="51" customHeight="1">
      <c r="A46" s="75" t="s">
        <v>249</v>
      </c>
      <c r="B46" s="75" t="s">
        <v>44</v>
      </c>
      <c r="C46" s="16">
        <v>904</v>
      </c>
      <c r="D46" s="16">
        <v>702</v>
      </c>
      <c r="E46" s="1" t="s">
        <v>143</v>
      </c>
      <c r="F46" s="16">
        <v>412</v>
      </c>
      <c r="G46" s="87"/>
      <c r="H46" s="87">
        <v>7450580</v>
      </c>
      <c r="I46" s="88">
        <v>4917520</v>
      </c>
      <c r="J46" s="127">
        <v>2269070</v>
      </c>
      <c r="K46" s="87"/>
      <c r="L46" s="87"/>
      <c r="M46" s="75" t="s">
        <v>140</v>
      </c>
      <c r="N46" s="143"/>
    </row>
    <row r="47" spans="1:14" ht="50.25" customHeight="1">
      <c r="A47" s="13" t="s">
        <v>250</v>
      </c>
      <c r="B47" s="75" t="s">
        <v>44</v>
      </c>
      <c r="C47" s="16">
        <v>904</v>
      </c>
      <c r="D47" s="16">
        <v>702</v>
      </c>
      <c r="E47" s="1" t="s">
        <v>37</v>
      </c>
      <c r="F47" s="16">
        <v>612</v>
      </c>
      <c r="G47" s="87">
        <v>3000000</v>
      </c>
      <c r="H47" s="87">
        <v>15270000</v>
      </c>
      <c r="I47" s="88">
        <f>7548000+3000000</f>
        <v>10548000</v>
      </c>
      <c r="J47" s="127">
        <f>4887000-734203.24</f>
        <v>4152796.76</v>
      </c>
      <c r="K47" s="87">
        <v>3258000</v>
      </c>
      <c r="L47" s="87">
        <v>1629000</v>
      </c>
      <c r="M47" s="141" t="s">
        <v>131</v>
      </c>
      <c r="N47" s="143"/>
    </row>
    <row r="48" spans="1:14" ht="66.75" customHeight="1">
      <c r="A48" s="13" t="s">
        <v>251</v>
      </c>
      <c r="B48" s="75" t="s">
        <v>43</v>
      </c>
      <c r="C48" s="16">
        <v>904</v>
      </c>
      <c r="D48" s="16">
        <v>702</v>
      </c>
      <c r="E48" s="1" t="s">
        <v>39</v>
      </c>
      <c r="F48" s="16">
        <v>612</v>
      </c>
      <c r="G48" s="87">
        <v>61225</v>
      </c>
      <c r="H48" s="87">
        <v>311633</v>
      </c>
      <c r="I48" s="88">
        <f>154041+61224.61</f>
        <v>215265.61</v>
      </c>
      <c r="J48" s="127">
        <f>1299076-1299076</f>
        <v>0</v>
      </c>
      <c r="K48" s="87">
        <v>866051</v>
      </c>
      <c r="L48" s="87">
        <v>433026</v>
      </c>
      <c r="M48" s="141"/>
      <c r="N48" s="143"/>
    </row>
    <row r="49" spans="1:14" ht="36.75" customHeight="1">
      <c r="A49" s="25" t="s">
        <v>252</v>
      </c>
      <c r="B49" s="75" t="s">
        <v>44</v>
      </c>
      <c r="C49" s="16">
        <v>904</v>
      </c>
      <c r="D49" s="16">
        <v>702</v>
      </c>
      <c r="E49" s="1" t="s">
        <v>38</v>
      </c>
      <c r="F49" s="16">
        <v>611</v>
      </c>
      <c r="G49" s="87">
        <v>3373060</v>
      </c>
      <c r="H49" s="87">
        <v>6311131</v>
      </c>
      <c r="I49" s="88">
        <f>4441000+886780</f>
        <v>5327780</v>
      </c>
      <c r="J49" s="127">
        <v>5889000</v>
      </c>
      <c r="K49" s="87">
        <v>2945000</v>
      </c>
      <c r="L49" s="87">
        <v>1963000</v>
      </c>
      <c r="M49" s="79"/>
      <c r="N49" s="143"/>
    </row>
    <row r="50" spans="1:14" ht="68.25" customHeight="1">
      <c r="A50" s="13" t="s">
        <v>253</v>
      </c>
      <c r="B50" s="75" t="s">
        <v>43</v>
      </c>
      <c r="C50" s="16">
        <v>904</v>
      </c>
      <c r="D50" s="16">
        <v>702</v>
      </c>
      <c r="E50" s="1" t="s">
        <v>75</v>
      </c>
      <c r="F50" s="16">
        <v>611</v>
      </c>
      <c r="G50" s="87">
        <v>2270548</v>
      </c>
      <c r="H50" s="87">
        <v>2282600</v>
      </c>
      <c r="I50" s="88">
        <v>2390633</v>
      </c>
      <c r="J50" s="127">
        <v>4353184</v>
      </c>
      <c r="K50" s="87">
        <v>4353184</v>
      </c>
      <c r="L50" s="87">
        <v>4353184</v>
      </c>
      <c r="M50" s="114" t="s">
        <v>102</v>
      </c>
      <c r="N50" s="143"/>
    </row>
    <row r="51" spans="1:14" ht="72" customHeight="1">
      <c r="A51" s="13" t="s">
        <v>254</v>
      </c>
      <c r="B51" s="75" t="s">
        <v>44</v>
      </c>
      <c r="C51" s="16">
        <v>904</v>
      </c>
      <c r="D51" s="16">
        <v>702</v>
      </c>
      <c r="E51" s="1" t="s">
        <v>127</v>
      </c>
      <c r="F51" s="16"/>
      <c r="G51" s="87"/>
      <c r="H51" s="87"/>
      <c r="I51" s="88">
        <v>1000000</v>
      </c>
      <c r="J51" s="127">
        <v>20000</v>
      </c>
      <c r="K51" s="87"/>
      <c r="L51" s="87"/>
      <c r="M51" s="80" t="s">
        <v>148</v>
      </c>
      <c r="N51" s="143"/>
    </row>
    <row r="52" spans="1:14" ht="80.25" customHeight="1">
      <c r="A52" s="13" t="s">
        <v>255</v>
      </c>
      <c r="B52" s="75" t="s">
        <v>52</v>
      </c>
      <c r="C52" s="16">
        <v>904</v>
      </c>
      <c r="D52" s="16">
        <v>702</v>
      </c>
      <c r="E52" s="1" t="s">
        <v>128</v>
      </c>
      <c r="F52" s="16"/>
      <c r="G52" s="87"/>
      <c r="H52" s="87"/>
      <c r="I52" s="88">
        <v>20409</v>
      </c>
      <c r="J52" s="127"/>
      <c r="K52" s="87"/>
      <c r="L52" s="87"/>
      <c r="M52" s="80" t="s">
        <v>149</v>
      </c>
      <c r="N52" s="143"/>
    </row>
    <row r="53" spans="1:14" ht="42.75" customHeight="1">
      <c r="A53" s="13" t="s">
        <v>256</v>
      </c>
      <c r="B53" s="75" t="s">
        <v>44</v>
      </c>
      <c r="C53" s="16">
        <v>904</v>
      </c>
      <c r="D53" s="16">
        <v>702</v>
      </c>
      <c r="E53" s="1" t="s">
        <v>63</v>
      </c>
      <c r="F53" s="16">
        <v>611</v>
      </c>
      <c r="G53" s="87">
        <v>120000</v>
      </c>
      <c r="H53" s="87">
        <v>4000</v>
      </c>
      <c r="I53" s="88"/>
      <c r="J53" s="127"/>
      <c r="K53" s="87"/>
      <c r="L53" s="87"/>
      <c r="M53" s="75" t="s">
        <v>103</v>
      </c>
      <c r="N53" s="143"/>
    </row>
    <row r="54" spans="1:14" ht="49.5" customHeight="1">
      <c r="A54" s="13" t="s">
        <v>257</v>
      </c>
      <c r="B54" s="75" t="s">
        <v>43</v>
      </c>
      <c r="C54" s="16">
        <v>904</v>
      </c>
      <c r="D54" s="16">
        <v>702</v>
      </c>
      <c r="E54" s="1" t="s">
        <v>64</v>
      </c>
      <c r="F54" s="16">
        <v>611</v>
      </c>
      <c r="G54" s="87">
        <v>2449</v>
      </c>
      <c r="H54" s="87">
        <v>82</v>
      </c>
      <c r="I54" s="88"/>
      <c r="J54" s="127"/>
      <c r="K54" s="87"/>
      <c r="L54" s="87"/>
      <c r="M54" s="75" t="s">
        <v>104</v>
      </c>
      <c r="N54" s="143"/>
    </row>
    <row r="55" spans="1:14" ht="36.75" customHeight="1">
      <c r="A55" s="145" t="s">
        <v>258</v>
      </c>
      <c r="B55" s="75" t="s">
        <v>47</v>
      </c>
      <c r="C55" s="16">
        <v>904</v>
      </c>
      <c r="D55" s="16" t="s">
        <v>65</v>
      </c>
      <c r="E55" s="1" t="s">
        <v>68</v>
      </c>
      <c r="F55" s="16">
        <v>612</v>
      </c>
      <c r="G55" s="87">
        <v>29207883</v>
      </c>
      <c r="H55" s="87">
        <v>31132971</v>
      </c>
      <c r="I55" s="88">
        <v>34573000</v>
      </c>
      <c r="J55" s="127">
        <v>39440091</v>
      </c>
      <c r="K55" s="87">
        <v>34509995</v>
      </c>
      <c r="L55" s="87">
        <v>32614983</v>
      </c>
      <c r="M55" s="145" t="s">
        <v>69</v>
      </c>
      <c r="N55" s="143"/>
    </row>
    <row r="56" spans="1:14" ht="33.75" customHeight="1">
      <c r="A56" s="146"/>
      <c r="B56" s="75" t="s">
        <v>44</v>
      </c>
      <c r="C56" s="16">
        <v>904</v>
      </c>
      <c r="D56" s="16" t="s">
        <v>65</v>
      </c>
      <c r="E56" s="1" t="s">
        <v>68</v>
      </c>
      <c r="F56" s="16">
        <v>612</v>
      </c>
      <c r="G56" s="87">
        <v>3245320</v>
      </c>
      <c r="H56" s="87">
        <v>3459219</v>
      </c>
      <c r="I56" s="88">
        <v>3842000</v>
      </c>
      <c r="J56" s="127">
        <f>398384.76</f>
        <v>398384.76</v>
      </c>
      <c r="K56" s="87">
        <v>348585.81</v>
      </c>
      <c r="L56" s="87">
        <v>329444.27</v>
      </c>
      <c r="M56" s="146"/>
      <c r="N56" s="143"/>
    </row>
    <row r="57" spans="1:14" ht="63" customHeight="1">
      <c r="A57" s="147"/>
      <c r="B57" s="75" t="s">
        <v>52</v>
      </c>
      <c r="C57" s="16">
        <v>904</v>
      </c>
      <c r="D57" s="16" t="s">
        <v>65</v>
      </c>
      <c r="E57" s="1" t="s">
        <v>68</v>
      </c>
      <c r="F57" s="16">
        <v>612</v>
      </c>
      <c r="G57" s="87">
        <v>327811</v>
      </c>
      <c r="H57" s="87">
        <v>349417</v>
      </c>
      <c r="I57" s="88">
        <f>388031-0.7</f>
        <v>388030.3</v>
      </c>
      <c r="J57" s="127">
        <f>402409-0.15</f>
        <v>402408.85</v>
      </c>
      <c r="K57" s="87">
        <v>352107</v>
      </c>
      <c r="L57" s="87">
        <v>333772</v>
      </c>
      <c r="M57" s="147"/>
      <c r="N57" s="143"/>
    </row>
    <row r="58" spans="1:14" ht="31.5" customHeight="1">
      <c r="A58" s="141" t="s">
        <v>259</v>
      </c>
      <c r="B58" s="75" t="s">
        <v>43</v>
      </c>
      <c r="C58" s="16">
        <v>904</v>
      </c>
      <c r="D58" s="1" t="s">
        <v>189</v>
      </c>
      <c r="E58" s="1" t="s">
        <v>166</v>
      </c>
      <c r="F58" s="16">
        <v>612</v>
      </c>
      <c r="G58" s="19"/>
      <c r="H58" s="19"/>
      <c r="I58" s="88">
        <v>350952</v>
      </c>
      <c r="J58" s="129"/>
      <c r="K58" s="19"/>
      <c r="L58" s="19"/>
      <c r="M58" s="141" t="s">
        <v>158</v>
      </c>
      <c r="N58" s="143"/>
    </row>
    <row r="59" spans="1:14" ht="31.5" customHeight="1">
      <c r="A59" s="141"/>
      <c r="B59" s="75" t="s">
        <v>45</v>
      </c>
      <c r="C59" s="77">
        <v>904</v>
      </c>
      <c r="D59" s="1" t="s">
        <v>189</v>
      </c>
      <c r="E59" s="1" t="s">
        <v>166</v>
      </c>
      <c r="F59" s="77">
        <v>612</v>
      </c>
      <c r="G59" s="19"/>
      <c r="H59" s="19"/>
      <c r="I59" s="88">
        <f>3474422.22+0.01</f>
        <v>3474422.23</v>
      </c>
      <c r="J59" s="129"/>
      <c r="K59" s="19"/>
      <c r="L59" s="19"/>
      <c r="M59" s="141"/>
      <c r="N59" s="143"/>
    </row>
    <row r="60" spans="1:14" ht="31.5" customHeight="1">
      <c r="A60" s="141"/>
      <c r="B60" s="75" t="s">
        <v>47</v>
      </c>
      <c r="C60" s="77">
        <v>904</v>
      </c>
      <c r="D60" s="1" t="s">
        <v>189</v>
      </c>
      <c r="E60" s="1" t="s">
        <v>166</v>
      </c>
      <c r="F60" s="77">
        <v>612</v>
      </c>
      <c r="G60" s="19"/>
      <c r="H60" s="19"/>
      <c r="I60" s="88">
        <v>31269800</v>
      </c>
      <c r="J60" s="129"/>
      <c r="K60" s="19"/>
      <c r="L60" s="19"/>
      <c r="M60" s="141"/>
      <c r="N60" s="143"/>
    </row>
    <row r="61" spans="1:14" ht="67.5" customHeight="1">
      <c r="A61" s="75" t="s">
        <v>260</v>
      </c>
      <c r="B61" s="75" t="s">
        <v>52</v>
      </c>
      <c r="C61" s="16">
        <v>904</v>
      </c>
      <c r="D61" s="1" t="s">
        <v>189</v>
      </c>
      <c r="E61" s="1" t="s">
        <v>139</v>
      </c>
      <c r="F61" s="16">
        <v>412</v>
      </c>
      <c r="G61" s="87"/>
      <c r="H61" s="87">
        <v>152100</v>
      </c>
      <c r="I61" s="88">
        <f>115130.4+119849.6</f>
        <v>234980</v>
      </c>
      <c r="J61" s="127"/>
      <c r="K61" s="87"/>
      <c r="L61" s="87"/>
      <c r="M61" s="75" t="s">
        <v>140</v>
      </c>
      <c r="N61" s="86"/>
    </row>
    <row r="62" spans="1:14" ht="51.75" customHeight="1">
      <c r="A62" s="7" t="s">
        <v>261</v>
      </c>
      <c r="B62" s="14"/>
      <c r="C62" s="15"/>
      <c r="D62" s="15"/>
      <c r="E62" s="9" t="s">
        <v>21</v>
      </c>
      <c r="F62" s="15"/>
      <c r="G62" s="21">
        <f>SUM(G63:G72)</f>
        <v>42779038.700000003</v>
      </c>
      <c r="H62" s="21">
        <f>SUM(H63:H72)</f>
        <v>47772507.200000003</v>
      </c>
      <c r="I62" s="62">
        <f>SUM(I63:I77)</f>
        <v>51231661.280000001</v>
      </c>
      <c r="J62" s="135">
        <f>SUM(J63:J73)</f>
        <v>54082085.789999999</v>
      </c>
      <c r="K62" s="92">
        <f t="shared" ref="K62:L62" si="5">SUM(K63:K73)</f>
        <v>43753984.229999997</v>
      </c>
      <c r="L62" s="92">
        <f t="shared" si="5"/>
        <v>43745983.229999997</v>
      </c>
      <c r="M62" s="75"/>
      <c r="N62" s="10"/>
    </row>
    <row r="63" spans="1:14" ht="15.75" customHeight="1">
      <c r="A63" s="145" t="s">
        <v>262</v>
      </c>
      <c r="B63" s="145" t="s">
        <v>43</v>
      </c>
      <c r="C63" s="16">
        <v>904</v>
      </c>
      <c r="D63" s="1" t="s">
        <v>188</v>
      </c>
      <c r="E63" s="1" t="s">
        <v>23</v>
      </c>
      <c r="F63" s="16">
        <v>120</v>
      </c>
      <c r="G63" s="87">
        <v>26582961</v>
      </c>
      <c r="H63" s="87">
        <v>30197454</v>
      </c>
      <c r="I63" s="88">
        <f>28644103.16+2598554.83+397000</f>
        <v>31639657.990000002</v>
      </c>
      <c r="J63" s="127">
        <f>26609048.65+6144520.11+838296.63</f>
        <v>33591865.390000001</v>
      </c>
      <c r="K63" s="87">
        <v>26609048.649999999</v>
      </c>
      <c r="L63" s="87">
        <v>26609048.649999999</v>
      </c>
      <c r="M63" s="75" t="s">
        <v>32</v>
      </c>
      <c r="N63" s="142" t="s">
        <v>50</v>
      </c>
    </row>
    <row r="64" spans="1:14" ht="51.75" customHeight="1">
      <c r="A64" s="146"/>
      <c r="B64" s="146"/>
      <c r="C64" s="16"/>
      <c r="D64" s="16"/>
      <c r="E64" s="1" t="s">
        <v>23</v>
      </c>
      <c r="F64" s="16">
        <v>240</v>
      </c>
      <c r="G64" s="87">
        <v>4305704</v>
      </c>
      <c r="H64" s="87">
        <v>3973541</v>
      </c>
      <c r="I64" s="88">
        <f>3535571.38+519012+120600+142179-1686.41</f>
        <v>4315675.97</v>
      </c>
      <c r="J64" s="127">
        <v>4030648.74</v>
      </c>
      <c r="K64" s="87">
        <v>4067028.74</v>
      </c>
      <c r="L64" s="87">
        <v>4059028.74</v>
      </c>
      <c r="M64" s="75" t="s">
        <v>105</v>
      </c>
      <c r="N64" s="143"/>
    </row>
    <row r="65" spans="1:18" ht="20.25" customHeight="1">
      <c r="A65" s="146"/>
      <c r="B65" s="146"/>
      <c r="C65" s="16">
        <v>904</v>
      </c>
      <c r="D65" s="1" t="s">
        <v>188</v>
      </c>
      <c r="E65" s="1" t="s">
        <v>23</v>
      </c>
      <c r="F65" s="16"/>
      <c r="G65" s="87">
        <v>6200</v>
      </c>
      <c r="H65" s="87">
        <v>0</v>
      </c>
      <c r="I65" s="88">
        <v>0</v>
      </c>
      <c r="J65" s="127">
        <v>0</v>
      </c>
      <c r="K65" s="87">
        <v>0</v>
      </c>
      <c r="L65" s="87"/>
      <c r="M65" s="75" t="s">
        <v>33</v>
      </c>
      <c r="N65" s="143"/>
    </row>
    <row r="66" spans="1:18" ht="15.75" customHeight="1">
      <c r="A66" s="147"/>
      <c r="B66" s="147"/>
      <c r="C66" s="16">
        <v>904</v>
      </c>
      <c r="D66" s="1" t="s">
        <v>188</v>
      </c>
      <c r="E66" s="1" t="s">
        <v>23</v>
      </c>
      <c r="F66" s="16">
        <v>850</v>
      </c>
      <c r="G66" s="87">
        <v>32724.7</v>
      </c>
      <c r="H66" s="87">
        <v>18120</v>
      </c>
      <c r="I66" s="88">
        <f>15121+600+1686.41</f>
        <v>17407.41</v>
      </c>
      <c r="J66" s="127">
        <v>15121</v>
      </c>
      <c r="K66" s="87">
        <v>15121</v>
      </c>
      <c r="L66" s="87">
        <v>15121</v>
      </c>
      <c r="M66" s="75" t="s">
        <v>33</v>
      </c>
      <c r="N66" s="143"/>
    </row>
    <row r="67" spans="1:18" ht="23.25" customHeight="1">
      <c r="A67" s="145" t="s">
        <v>310</v>
      </c>
      <c r="B67" s="145" t="s">
        <v>43</v>
      </c>
      <c r="C67" s="16">
        <v>904</v>
      </c>
      <c r="D67" s="1" t="s">
        <v>188</v>
      </c>
      <c r="E67" s="1" t="s">
        <v>144</v>
      </c>
      <c r="F67" s="16">
        <v>120</v>
      </c>
      <c r="G67" s="87"/>
      <c r="H67" s="87">
        <v>632460</v>
      </c>
      <c r="I67" s="88">
        <f>3943385.11+358489.56-43300-961686.29-1242627.61-92480-113087</f>
        <v>1848693.7699999998</v>
      </c>
      <c r="J67" s="127">
        <f>2752013.45+637308.37+86905.69-1955612.33</f>
        <v>1520615.1800000002</v>
      </c>
      <c r="K67" s="87">
        <v>2752013.45</v>
      </c>
      <c r="L67" s="87">
        <v>2752013.45</v>
      </c>
      <c r="M67" s="75" t="s">
        <v>32</v>
      </c>
      <c r="N67" s="143"/>
    </row>
    <row r="68" spans="1:18" ht="39.75" customHeight="1">
      <c r="A68" s="147"/>
      <c r="B68" s="147"/>
      <c r="C68" s="16">
        <v>904</v>
      </c>
      <c r="D68" s="1" t="s">
        <v>188</v>
      </c>
      <c r="E68" s="1" t="s">
        <v>144</v>
      </c>
      <c r="F68" s="16">
        <v>240</v>
      </c>
      <c r="G68" s="87"/>
      <c r="H68" s="87">
        <v>439540</v>
      </c>
      <c r="I68" s="88">
        <f>123056+92480+113087+15830</f>
        <v>344453</v>
      </c>
      <c r="J68" s="127">
        <f>132645.1+97500-56833.04</f>
        <v>173312.06</v>
      </c>
      <c r="K68" s="87">
        <v>132645.1</v>
      </c>
      <c r="L68" s="87">
        <v>132645.1</v>
      </c>
      <c r="M68" s="75" t="s">
        <v>146</v>
      </c>
      <c r="N68" s="143"/>
    </row>
    <row r="69" spans="1:18" ht="39.75" customHeight="1">
      <c r="A69" s="145" t="s">
        <v>311</v>
      </c>
      <c r="B69" s="145" t="s">
        <v>43</v>
      </c>
      <c r="C69" s="16">
        <v>904</v>
      </c>
      <c r="D69" s="1" t="s">
        <v>188</v>
      </c>
      <c r="E69" s="1" t="s">
        <v>237</v>
      </c>
      <c r="F69" s="52"/>
      <c r="G69" s="52"/>
      <c r="H69" s="52"/>
      <c r="I69" s="52"/>
      <c r="J69" s="63">
        <v>1955612.33</v>
      </c>
      <c r="K69" s="63"/>
      <c r="L69" s="63"/>
      <c r="M69" s="96" t="s">
        <v>32</v>
      </c>
      <c r="N69" s="143"/>
    </row>
    <row r="70" spans="1:18" ht="39.75" customHeight="1">
      <c r="A70" s="147"/>
      <c r="B70" s="147"/>
      <c r="C70" s="16">
        <v>904</v>
      </c>
      <c r="D70" s="1" t="s">
        <v>188</v>
      </c>
      <c r="E70" s="1" t="s">
        <v>237</v>
      </c>
      <c r="F70" s="52"/>
      <c r="G70" s="52"/>
      <c r="H70" s="52"/>
      <c r="I70" s="52"/>
      <c r="J70" s="63">
        <v>93213.04</v>
      </c>
      <c r="K70" s="63"/>
      <c r="L70" s="63"/>
      <c r="M70" s="96" t="s">
        <v>146</v>
      </c>
      <c r="N70" s="143"/>
    </row>
    <row r="71" spans="1:18">
      <c r="A71" s="141" t="s">
        <v>263</v>
      </c>
      <c r="B71" s="141" t="s">
        <v>43</v>
      </c>
      <c r="C71" s="16">
        <v>904</v>
      </c>
      <c r="D71" s="1" t="s">
        <v>188</v>
      </c>
      <c r="E71" s="1" t="s">
        <v>22</v>
      </c>
      <c r="F71" s="16">
        <v>120</v>
      </c>
      <c r="G71" s="87">
        <v>10447652</v>
      </c>
      <c r="H71" s="87">
        <v>11105258.6</v>
      </c>
      <c r="I71" s="88">
        <f>10731908.17+973809.83+175602</f>
        <v>11881320</v>
      </c>
      <c r="J71" s="127"/>
      <c r="K71" s="87"/>
      <c r="L71" s="87"/>
      <c r="M71" s="75" t="s">
        <v>32</v>
      </c>
      <c r="N71" s="143"/>
    </row>
    <row r="72" spans="1:18" ht="22.5" customHeight="1">
      <c r="A72" s="141"/>
      <c r="B72" s="141"/>
      <c r="C72" s="16">
        <v>904</v>
      </c>
      <c r="D72" s="1" t="s">
        <v>188</v>
      </c>
      <c r="E72" s="1" t="s">
        <v>22</v>
      </c>
      <c r="F72" s="16">
        <v>240</v>
      </c>
      <c r="G72" s="87">
        <v>1403797</v>
      </c>
      <c r="H72" s="87">
        <v>1406133.6</v>
      </c>
      <c r="I72" s="88">
        <f>717042.08+50000+84681.72+30420+125000</f>
        <v>1007143.7999999999</v>
      </c>
      <c r="J72" s="127"/>
      <c r="K72" s="87"/>
      <c r="L72" s="87"/>
      <c r="M72" s="75"/>
      <c r="N72" s="143"/>
    </row>
    <row r="73" spans="1:18" ht="33.75" customHeight="1">
      <c r="A73" s="75" t="s">
        <v>264</v>
      </c>
      <c r="B73" s="75" t="s">
        <v>43</v>
      </c>
      <c r="C73" s="16"/>
      <c r="D73" s="1"/>
      <c r="E73" s="1"/>
      <c r="F73" s="16"/>
      <c r="G73" s="87"/>
      <c r="H73" s="87"/>
      <c r="I73" s="88"/>
      <c r="J73" s="127">
        <f>SUM(J74:J76)</f>
        <v>12701698.049999999</v>
      </c>
      <c r="K73" s="87">
        <f t="shared" ref="K73:L73" si="6">K74+K76</f>
        <v>10178127.289999999</v>
      </c>
      <c r="L73" s="87">
        <f t="shared" si="6"/>
        <v>10178126.289999999</v>
      </c>
      <c r="M73" s="94" t="s">
        <v>32</v>
      </c>
      <c r="N73" s="85"/>
    </row>
    <row r="74" spans="1:18" ht="37.5" customHeight="1">
      <c r="A74" s="13" t="s">
        <v>265</v>
      </c>
      <c r="B74" s="13" t="s">
        <v>43</v>
      </c>
      <c r="C74" s="16">
        <v>904</v>
      </c>
      <c r="D74" s="1" t="s">
        <v>188</v>
      </c>
      <c r="E74" s="1" t="s">
        <v>178</v>
      </c>
      <c r="F74" s="16"/>
      <c r="G74" s="87"/>
      <c r="H74" s="87"/>
      <c r="I74" s="88"/>
      <c r="J74" s="127">
        <f>9478700.69+2196324.94+298846.82-2608207</f>
        <v>9365665.4499999993</v>
      </c>
      <c r="K74" s="87">
        <v>9478700.6899999995</v>
      </c>
      <c r="L74" s="87">
        <v>9478700.6899999995</v>
      </c>
      <c r="M74" s="94" t="s">
        <v>32</v>
      </c>
      <c r="N74" s="86"/>
    </row>
    <row r="75" spans="1:18" ht="65.25" customHeight="1">
      <c r="A75" s="13" t="s">
        <v>266</v>
      </c>
      <c r="B75" s="13" t="s">
        <v>43</v>
      </c>
      <c r="C75" s="16">
        <v>904</v>
      </c>
      <c r="D75" s="1" t="s">
        <v>188</v>
      </c>
      <c r="E75" s="1" t="s">
        <v>234</v>
      </c>
      <c r="F75" s="16"/>
      <c r="G75" s="87"/>
      <c r="H75" s="87"/>
      <c r="I75" s="88"/>
      <c r="J75" s="127">
        <f>2608207</f>
        <v>2608207</v>
      </c>
      <c r="K75" s="87"/>
      <c r="L75" s="87"/>
      <c r="M75" s="94" t="s">
        <v>32</v>
      </c>
      <c r="N75" s="95"/>
    </row>
    <row r="76" spans="1:18" ht="39.75" customHeight="1">
      <c r="A76" s="13" t="s">
        <v>267</v>
      </c>
      <c r="B76" s="13" t="s">
        <v>43</v>
      </c>
      <c r="C76" s="16">
        <v>904</v>
      </c>
      <c r="D76" s="1" t="s">
        <v>188</v>
      </c>
      <c r="E76" s="1" t="s">
        <v>187</v>
      </c>
      <c r="F76" s="52"/>
      <c r="G76" s="52"/>
      <c r="H76" s="52"/>
      <c r="I76" s="52"/>
      <c r="J76" s="63">
        <v>727825.6</v>
      </c>
      <c r="K76" s="63">
        <v>699426.6</v>
      </c>
      <c r="L76" s="63">
        <v>699425.6</v>
      </c>
      <c r="M76" s="75" t="s">
        <v>146</v>
      </c>
      <c r="N76" s="86"/>
    </row>
    <row r="77" spans="1:18" ht="196.5" customHeight="1">
      <c r="A77" s="13" t="s">
        <v>268</v>
      </c>
      <c r="B77" s="13" t="s">
        <v>47</v>
      </c>
      <c r="C77" s="16">
        <v>904</v>
      </c>
      <c r="D77" s="1" t="s">
        <v>188</v>
      </c>
      <c r="E77" s="1" t="s">
        <v>190</v>
      </c>
      <c r="F77" s="52"/>
      <c r="G77" s="52"/>
      <c r="H77" s="52"/>
      <c r="I77" s="70">
        <f>136187.54+41121.8</f>
        <v>177309.34000000003</v>
      </c>
      <c r="J77" s="63"/>
      <c r="K77" s="63"/>
      <c r="L77" s="63"/>
      <c r="M77" s="75"/>
      <c r="N77" s="86"/>
    </row>
    <row r="78" spans="1:18" s="101" customFormat="1" ht="53.25" customHeight="1">
      <c r="A78" s="108" t="s">
        <v>269</v>
      </c>
      <c r="B78" s="102" t="s">
        <v>43</v>
      </c>
      <c r="C78" s="97"/>
      <c r="D78" s="97"/>
      <c r="E78" s="109" t="s">
        <v>239</v>
      </c>
      <c r="F78" s="97"/>
      <c r="G78" s="91">
        <v>0</v>
      </c>
      <c r="H78" s="91">
        <v>0</v>
      </c>
      <c r="I78" s="110">
        <f>I79+I82+I83+I80+I81</f>
        <v>2950000</v>
      </c>
      <c r="J78" s="136">
        <f>J79+J82+J83+J80+J81</f>
        <v>4000000</v>
      </c>
      <c r="K78" s="110">
        <f>K79+K82+K83+K80+K81</f>
        <v>0</v>
      </c>
      <c r="L78" s="110">
        <f>L79+L82+L83+L80+L81</f>
        <v>0</v>
      </c>
      <c r="M78" s="107"/>
      <c r="N78" s="100"/>
    </row>
    <row r="79" spans="1:18" s="101" customFormat="1" ht="75.75" customHeight="1">
      <c r="A79" s="107" t="s">
        <v>270</v>
      </c>
      <c r="B79" s="102" t="s">
        <v>43</v>
      </c>
      <c r="C79" s="97">
        <v>904</v>
      </c>
      <c r="D79" s="97" t="s">
        <v>273</v>
      </c>
      <c r="E79" s="98" t="s">
        <v>274</v>
      </c>
      <c r="F79" s="97"/>
      <c r="G79" s="91"/>
      <c r="H79" s="91"/>
      <c r="I79" s="99">
        <v>550000</v>
      </c>
      <c r="J79" s="127"/>
      <c r="K79" s="91"/>
      <c r="L79" s="91"/>
      <c r="M79" s="107" t="s">
        <v>172</v>
      </c>
      <c r="N79" s="100"/>
    </row>
    <row r="80" spans="1:18" s="101" customFormat="1" ht="46.5" customHeight="1">
      <c r="A80" s="148" t="s">
        <v>271</v>
      </c>
      <c r="B80" s="102" t="s">
        <v>44</v>
      </c>
      <c r="C80" s="97">
        <v>904</v>
      </c>
      <c r="D80" s="112" t="s">
        <v>275</v>
      </c>
      <c r="E80" s="98" t="s">
        <v>176</v>
      </c>
      <c r="F80" s="97"/>
      <c r="G80" s="91"/>
      <c r="H80" s="91"/>
      <c r="I80" s="99"/>
      <c r="J80" s="127">
        <v>2000000</v>
      </c>
      <c r="K80" s="91"/>
      <c r="L80" s="91"/>
      <c r="M80" s="148" t="s">
        <v>233</v>
      </c>
      <c r="N80" s="100"/>
      <c r="R80" s="111"/>
    </row>
    <row r="81" spans="1:19" s="101" customFormat="1" ht="46.5" customHeight="1">
      <c r="A81" s="149"/>
      <c r="B81" s="102" t="s">
        <v>43</v>
      </c>
      <c r="C81" s="97">
        <v>904</v>
      </c>
      <c r="D81" s="112" t="s">
        <v>275</v>
      </c>
      <c r="E81" s="98" t="s">
        <v>176</v>
      </c>
      <c r="F81" s="97"/>
      <c r="G81" s="91"/>
      <c r="H81" s="91"/>
      <c r="I81" s="99"/>
      <c r="J81" s="127"/>
      <c r="K81" s="91"/>
      <c r="L81" s="91"/>
      <c r="M81" s="149"/>
      <c r="N81" s="100"/>
      <c r="R81" s="111"/>
    </row>
    <row r="82" spans="1:19" s="101" customFormat="1" ht="45.75" customHeight="1">
      <c r="A82" s="148" t="s">
        <v>272</v>
      </c>
      <c r="B82" s="102" t="s">
        <v>44</v>
      </c>
      <c r="C82" s="97">
        <v>904</v>
      </c>
      <c r="D82" s="97">
        <v>702</v>
      </c>
      <c r="E82" s="98" t="s">
        <v>177</v>
      </c>
      <c r="F82" s="97"/>
      <c r="G82" s="91"/>
      <c r="H82" s="91"/>
      <c r="I82" s="99">
        <v>2000000</v>
      </c>
      <c r="J82" s="127">
        <v>2000000</v>
      </c>
      <c r="K82" s="91"/>
      <c r="L82" s="91"/>
      <c r="M82" s="148" t="s">
        <v>230</v>
      </c>
      <c r="N82" s="100"/>
    </row>
    <row r="83" spans="1:19" s="101" customFormat="1" ht="50.25" customHeight="1">
      <c r="A83" s="149"/>
      <c r="B83" s="102" t="s">
        <v>43</v>
      </c>
      <c r="C83" s="97">
        <v>904</v>
      </c>
      <c r="D83" s="97">
        <v>702</v>
      </c>
      <c r="E83" s="98" t="s">
        <v>177</v>
      </c>
      <c r="F83" s="97"/>
      <c r="G83" s="91"/>
      <c r="H83" s="91"/>
      <c r="I83" s="99">
        <v>400000</v>
      </c>
      <c r="J83" s="127"/>
      <c r="K83" s="91"/>
      <c r="L83" s="91"/>
      <c r="M83" s="149"/>
      <c r="N83" s="100"/>
    </row>
    <row r="84" spans="1:19" ht="48.75" customHeight="1">
      <c r="A84" s="7" t="s">
        <v>276</v>
      </c>
      <c r="B84" s="75"/>
      <c r="C84" s="16"/>
      <c r="D84" s="16"/>
      <c r="E84" s="9" t="s">
        <v>48</v>
      </c>
      <c r="F84" s="16"/>
      <c r="G84" s="21">
        <f>G89+G90</f>
        <v>0</v>
      </c>
      <c r="H84" s="21">
        <f>H85+H86+H87+H88+H89+H90+H91+H92</f>
        <v>6475410.2100000009</v>
      </c>
      <c r="I84" s="62">
        <f>I85+I86+I87+I88+I89+I90</f>
        <v>7769073.4699999997</v>
      </c>
      <c r="J84" s="123">
        <f>J85+J86+J87</f>
        <v>0</v>
      </c>
      <c r="K84" s="21">
        <f>K85+K86+K87</f>
        <v>0</v>
      </c>
      <c r="L84" s="21">
        <f>L85+L86+L87</f>
        <v>0</v>
      </c>
      <c r="M84" s="75"/>
      <c r="N84" s="75"/>
    </row>
    <row r="85" spans="1:19" ht="50.25" customHeight="1">
      <c r="A85" s="145" t="s">
        <v>277</v>
      </c>
      <c r="B85" s="75" t="s">
        <v>47</v>
      </c>
      <c r="C85" s="16">
        <v>904</v>
      </c>
      <c r="D85" s="16">
        <v>702</v>
      </c>
      <c r="E85" s="1" t="s">
        <v>159</v>
      </c>
      <c r="F85" s="150">
        <v>612</v>
      </c>
      <c r="G85" s="87"/>
      <c r="H85" s="87"/>
      <c r="I85" s="88">
        <f>10828763.48-3246762.89</f>
        <v>7582000.5899999999</v>
      </c>
      <c r="J85" s="127"/>
      <c r="K85" s="87"/>
      <c r="L85" s="87"/>
      <c r="M85" s="146"/>
      <c r="N85" s="85"/>
      <c r="Q85" s="49">
        <f>I87+I90+I92</f>
        <v>110487</v>
      </c>
      <c r="R85" s="49">
        <f>I86+I89+I91</f>
        <v>76585.88</v>
      </c>
      <c r="S85" s="49">
        <f>I85+I88</f>
        <v>7582000.5899999999</v>
      </c>
    </row>
    <row r="86" spans="1:19" ht="39.75" customHeight="1">
      <c r="A86" s="146"/>
      <c r="B86" s="75" t="s">
        <v>44</v>
      </c>
      <c r="C86" s="16">
        <v>904</v>
      </c>
      <c r="D86" s="16">
        <v>702</v>
      </c>
      <c r="E86" s="1" t="s">
        <v>159</v>
      </c>
      <c r="F86" s="151"/>
      <c r="G86" s="87"/>
      <c r="H86" s="87"/>
      <c r="I86" s="88">
        <f>109381.47-32795.59</f>
        <v>76585.88</v>
      </c>
      <c r="J86" s="127"/>
      <c r="K86" s="87"/>
      <c r="L86" s="87"/>
      <c r="M86" s="146"/>
      <c r="N86" s="85"/>
    </row>
    <row r="87" spans="1:19" ht="90.75" customHeight="1">
      <c r="A87" s="147"/>
      <c r="B87" s="75" t="s">
        <v>52</v>
      </c>
      <c r="C87" s="16">
        <v>904</v>
      </c>
      <c r="D87" s="16">
        <v>702</v>
      </c>
      <c r="E87" s="1" t="s">
        <v>159</v>
      </c>
      <c r="F87" s="152"/>
      <c r="G87" s="87"/>
      <c r="H87" s="87"/>
      <c r="I87" s="88">
        <v>110487</v>
      </c>
      <c r="J87" s="127"/>
      <c r="K87" s="87"/>
      <c r="L87" s="87"/>
      <c r="M87" s="147"/>
      <c r="N87" s="85"/>
    </row>
    <row r="88" spans="1:19" ht="49.5" customHeight="1">
      <c r="A88" s="145" t="s">
        <v>278</v>
      </c>
      <c r="B88" s="75" t="s">
        <v>47</v>
      </c>
      <c r="C88" s="16">
        <v>904</v>
      </c>
      <c r="D88" s="16">
        <v>702</v>
      </c>
      <c r="E88" s="1" t="s">
        <v>120</v>
      </c>
      <c r="F88" s="81">
        <v>612</v>
      </c>
      <c r="G88" s="87"/>
      <c r="H88" s="87">
        <v>4346345.46</v>
      </c>
      <c r="I88" s="88"/>
      <c r="J88" s="127"/>
      <c r="K88" s="87"/>
      <c r="L88" s="87"/>
      <c r="M88" s="145" t="s">
        <v>130</v>
      </c>
      <c r="N88" s="85"/>
    </row>
    <row r="89" spans="1:19" ht="51" customHeight="1">
      <c r="A89" s="146"/>
      <c r="B89" s="75" t="s">
        <v>44</v>
      </c>
      <c r="C89" s="16">
        <v>904</v>
      </c>
      <c r="D89" s="16">
        <v>702</v>
      </c>
      <c r="E89" s="1" t="s">
        <v>120</v>
      </c>
      <c r="F89" s="16">
        <v>612</v>
      </c>
      <c r="G89" s="87"/>
      <c r="H89" s="87">
        <v>43902.48</v>
      </c>
      <c r="I89" s="88"/>
      <c r="J89" s="127"/>
      <c r="K89" s="87"/>
      <c r="L89" s="87"/>
      <c r="M89" s="146"/>
      <c r="N89" s="142" t="s">
        <v>70</v>
      </c>
    </row>
    <row r="90" spans="1:19" ht="75" customHeight="1">
      <c r="A90" s="147"/>
      <c r="B90" s="75" t="s">
        <v>52</v>
      </c>
      <c r="C90" s="16">
        <v>904</v>
      </c>
      <c r="D90" s="16">
        <v>702</v>
      </c>
      <c r="E90" s="1" t="s">
        <v>120</v>
      </c>
      <c r="F90" s="16">
        <v>612</v>
      </c>
      <c r="G90" s="87"/>
      <c r="H90" s="87">
        <v>44345.94</v>
      </c>
      <c r="I90" s="88"/>
      <c r="J90" s="127"/>
      <c r="K90" s="87"/>
      <c r="L90" s="87"/>
      <c r="M90" s="147"/>
      <c r="N90" s="143"/>
    </row>
    <row r="91" spans="1:19" ht="74.25" customHeight="1">
      <c r="A91" s="80" t="s">
        <v>279</v>
      </c>
      <c r="B91" s="75" t="s">
        <v>44</v>
      </c>
      <c r="C91" s="16">
        <v>904</v>
      </c>
      <c r="D91" s="16">
        <v>702</v>
      </c>
      <c r="E91" s="1" t="s">
        <v>142</v>
      </c>
      <c r="F91" s="16">
        <v>612</v>
      </c>
      <c r="G91" s="87"/>
      <c r="H91" s="87">
        <v>2000000</v>
      </c>
      <c r="I91" s="88"/>
      <c r="J91" s="127"/>
      <c r="K91" s="87"/>
      <c r="L91" s="87"/>
      <c r="M91" s="80" t="s">
        <v>141</v>
      </c>
      <c r="N91" s="143"/>
    </row>
    <row r="92" spans="1:19" ht="59.25" customHeight="1">
      <c r="A92" s="80" t="s">
        <v>280</v>
      </c>
      <c r="B92" s="75" t="s">
        <v>52</v>
      </c>
      <c r="C92" s="16"/>
      <c r="D92" s="16"/>
      <c r="E92" s="1"/>
      <c r="F92" s="16"/>
      <c r="G92" s="87"/>
      <c r="H92" s="87">
        <v>40816.33</v>
      </c>
      <c r="I92" s="88"/>
      <c r="J92" s="127"/>
      <c r="K92" s="87"/>
      <c r="L92" s="87"/>
      <c r="M92" s="80" t="s">
        <v>147</v>
      </c>
      <c r="N92" s="143"/>
    </row>
    <row r="93" spans="1:19" ht="57.75" customHeight="1">
      <c r="A93" s="83" t="s">
        <v>281</v>
      </c>
      <c r="B93" s="75"/>
      <c r="C93" s="16"/>
      <c r="D93" s="16"/>
      <c r="E93" s="9" t="s">
        <v>67</v>
      </c>
      <c r="F93" s="16"/>
      <c r="G93" s="21">
        <f>G94+G96+G95+G97+G98+G99+G100+G101</f>
        <v>7488243.0899999999</v>
      </c>
      <c r="H93" s="21">
        <f t="shared" ref="H93:L93" si="7">H94+H96+H95+H97+H98+H99+H100+H101</f>
        <v>3357299.8</v>
      </c>
      <c r="I93" s="21">
        <f t="shared" si="7"/>
        <v>0</v>
      </c>
      <c r="J93" s="123">
        <f t="shared" si="7"/>
        <v>0</v>
      </c>
      <c r="K93" s="21">
        <f t="shared" si="7"/>
        <v>0</v>
      </c>
      <c r="L93" s="21">
        <f t="shared" si="7"/>
        <v>0</v>
      </c>
      <c r="M93" s="80"/>
      <c r="N93" s="143"/>
    </row>
    <row r="94" spans="1:19" ht="52.5" customHeight="1">
      <c r="A94" s="145" t="s">
        <v>282</v>
      </c>
      <c r="B94" s="75" t="s">
        <v>47</v>
      </c>
      <c r="C94" s="16">
        <v>904</v>
      </c>
      <c r="D94" s="16" t="s">
        <v>65</v>
      </c>
      <c r="E94" s="1" t="s">
        <v>121</v>
      </c>
      <c r="F94" s="16">
        <v>612</v>
      </c>
      <c r="G94" s="87">
        <v>3338818</v>
      </c>
      <c r="H94" s="87"/>
      <c r="I94" s="88"/>
      <c r="J94" s="127"/>
      <c r="K94" s="87"/>
      <c r="L94" s="87"/>
      <c r="M94" s="145" t="s">
        <v>154</v>
      </c>
      <c r="N94" s="143"/>
    </row>
    <row r="95" spans="1:19" ht="36" customHeight="1">
      <c r="A95" s="146"/>
      <c r="B95" s="75" t="s">
        <v>44</v>
      </c>
      <c r="C95" s="16">
        <v>904</v>
      </c>
      <c r="D95" s="16" t="s">
        <v>65</v>
      </c>
      <c r="E95" s="1" t="s">
        <v>121</v>
      </c>
      <c r="F95" s="16">
        <v>612</v>
      </c>
      <c r="G95" s="87">
        <v>33725.43</v>
      </c>
      <c r="H95" s="87"/>
      <c r="I95" s="88"/>
      <c r="J95" s="127"/>
      <c r="K95" s="87"/>
      <c r="L95" s="87"/>
      <c r="M95" s="146"/>
      <c r="N95" s="143"/>
    </row>
    <row r="96" spans="1:19" ht="62.25" customHeight="1">
      <c r="A96" s="147"/>
      <c r="B96" s="75" t="s">
        <v>52</v>
      </c>
      <c r="C96" s="16">
        <v>904</v>
      </c>
      <c r="D96" s="16" t="s">
        <v>65</v>
      </c>
      <c r="E96" s="1" t="s">
        <v>121</v>
      </c>
      <c r="F96" s="16">
        <v>612</v>
      </c>
      <c r="G96" s="87">
        <v>34067</v>
      </c>
      <c r="H96" s="87"/>
      <c r="I96" s="88"/>
      <c r="J96" s="127"/>
      <c r="K96" s="87"/>
      <c r="L96" s="87"/>
      <c r="M96" s="147"/>
      <c r="N96" s="144"/>
    </row>
    <row r="97" spans="1:19" ht="59.25" customHeight="1">
      <c r="A97" s="75" t="s">
        <v>283</v>
      </c>
      <c r="B97" s="75" t="s">
        <v>44</v>
      </c>
      <c r="C97" s="16">
        <v>904</v>
      </c>
      <c r="D97" s="16">
        <v>702</v>
      </c>
      <c r="E97" s="1" t="s">
        <v>122</v>
      </c>
      <c r="F97" s="16">
        <v>612</v>
      </c>
      <c r="G97" s="87">
        <v>4000000</v>
      </c>
      <c r="H97" s="87"/>
      <c r="I97" s="88"/>
      <c r="J97" s="127"/>
      <c r="K97" s="87"/>
      <c r="L97" s="87"/>
      <c r="M97" s="24" t="s">
        <v>154</v>
      </c>
      <c r="N97" s="86"/>
    </row>
    <row r="98" spans="1:19" ht="57" customHeight="1">
      <c r="A98" s="75" t="s">
        <v>284</v>
      </c>
      <c r="B98" s="75" t="s">
        <v>43</v>
      </c>
      <c r="C98" s="16">
        <v>904</v>
      </c>
      <c r="D98" s="16">
        <v>702</v>
      </c>
      <c r="E98" s="1" t="s">
        <v>123</v>
      </c>
      <c r="F98" s="16">
        <v>612</v>
      </c>
      <c r="G98" s="87">
        <v>81632.66</v>
      </c>
      <c r="H98" s="87"/>
      <c r="I98" s="88"/>
      <c r="J98" s="127"/>
      <c r="K98" s="87"/>
      <c r="L98" s="87"/>
      <c r="M98" s="24"/>
      <c r="N98" s="86"/>
    </row>
    <row r="99" spans="1:19" ht="42" customHeight="1">
      <c r="A99" s="145" t="s">
        <v>285</v>
      </c>
      <c r="B99" s="75" t="s">
        <v>47</v>
      </c>
      <c r="C99" s="16">
        <v>904</v>
      </c>
      <c r="D99" s="16">
        <v>702</v>
      </c>
      <c r="E99" s="1" t="s">
        <v>124</v>
      </c>
      <c r="F99" s="16">
        <v>612</v>
      </c>
      <c r="G99" s="87"/>
      <c r="H99" s="87">
        <v>2290387.5</v>
      </c>
      <c r="I99" s="88"/>
      <c r="J99" s="127"/>
      <c r="K99" s="87"/>
      <c r="L99" s="87"/>
      <c r="M99" s="145" t="s">
        <v>156</v>
      </c>
      <c r="N99" s="86"/>
    </row>
    <row r="100" spans="1:19" ht="39" customHeight="1">
      <c r="A100" s="146"/>
      <c r="B100" s="75" t="s">
        <v>44</v>
      </c>
      <c r="C100" s="16">
        <v>904</v>
      </c>
      <c r="D100" s="16">
        <v>702</v>
      </c>
      <c r="E100" s="1" t="s">
        <v>124</v>
      </c>
      <c r="F100" s="16">
        <v>612</v>
      </c>
      <c r="G100" s="87"/>
      <c r="H100" s="87">
        <v>1023135.22</v>
      </c>
      <c r="I100" s="88"/>
      <c r="J100" s="127"/>
      <c r="K100" s="87"/>
      <c r="L100" s="87"/>
      <c r="M100" s="146"/>
      <c r="N100" s="86"/>
    </row>
    <row r="101" spans="1:19" ht="42" customHeight="1">
      <c r="A101" s="147"/>
      <c r="B101" s="75" t="s">
        <v>52</v>
      </c>
      <c r="C101" s="16">
        <v>904</v>
      </c>
      <c r="D101" s="16">
        <v>702</v>
      </c>
      <c r="E101" s="1" t="s">
        <v>124</v>
      </c>
      <c r="F101" s="16">
        <v>612</v>
      </c>
      <c r="G101" s="87"/>
      <c r="H101" s="87">
        <v>43777.08</v>
      </c>
      <c r="I101" s="88"/>
      <c r="J101" s="127"/>
      <c r="K101" s="87"/>
      <c r="L101" s="87"/>
      <c r="M101" s="147"/>
      <c r="N101" s="86"/>
    </row>
    <row r="102" spans="1:19" ht="48" customHeight="1">
      <c r="A102" s="83" t="s">
        <v>286</v>
      </c>
      <c r="B102" s="75"/>
      <c r="C102" s="16"/>
      <c r="D102" s="16"/>
      <c r="E102" s="9" t="s">
        <v>58</v>
      </c>
      <c r="F102" s="16"/>
      <c r="G102" s="21">
        <f>G103+G104+G105+G109+G110+G106+G107+G108</f>
        <v>7284875.21</v>
      </c>
      <c r="H102" s="21">
        <f>H103+H104+H105+H109+H110+H106+H107+H108</f>
        <v>21506598.829999998</v>
      </c>
      <c r="I102" s="21">
        <f>I103+I104+I105+I109+I110+I106+I107+I108</f>
        <v>3947668.67</v>
      </c>
      <c r="J102" s="123">
        <f t="shared" ref="J102:L102" si="8">J103+J104+J105+J109+J110</f>
        <v>0</v>
      </c>
      <c r="K102" s="21">
        <f t="shared" si="8"/>
        <v>0</v>
      </c>
      <c r="L102" s="21">
        <f t="shared" si="8"/>
        <v>0</v>
      </c>
      <c r="M102" s="80"/>
      <c r="N102" s="86"/>
      <c r="Q102" s="49">
        <f>I103+I108+I110+I116</f>
        <v>39477</v>
      </c>
      <c r="R102" s="64">
        <f>I104+I107+I109</f>
        <v>12081.92</v>
      </c>
      <c r="S102" s="49">
        <f>I105+I106</f>
        <v>3896109.75</v>
      </c>
    </row>
    <row r="103" spans="1:19" ht="32.25" customHeight="1">
      <c r="A103" s="145" t="s">
        <v>287</v>
      </c>
      <c r="B103" s="75" t="s">
        <v>43</v>
      </c>
      <c r="C103" s="16">
        <v>904</v>
      </c>
      <c r="D103" s="16">
        <v>702</v>
      </c>
      <c r="E103" s="1" t="s">
        <v>71</v>
      </c>
      <c r="F103" s="16">
        <v>612</v>
      </c>
      <c r="G103" s="87">
        <v>42236.5</v>
      </c>
      <c r="H103" s="87"/>
      <c r="I103" s="88"/>
      <c r="J103" s="127"/>
      <c r="K103" s="87"/>
      <c r="L103" s="87"/>
      <c r="M103" s="145" t="s">
        <v>155</v>
      </c>
      <c r="N103" s="86"/>
    </row>
    <row r="104" spans="1:19" ht="32.25" customHeight="1">
      <c r="A104" s="146"/>
      <c r="B104" s="75" t="s">
        <v>44</v>
      </c>
      <c r="C104" s="16">
        <v>904</v>
      </c>
      <c r="D104" s="16">
        <v>702</v>
      </c>
      <c r="E104" s="1" t="s">
        <v>71</v>
      </c>
      <c r="F104" s="16">
        <v>612</v>
      </c>
      <c r="G104" s="87">
        <v>41814.199999999997</v>
      </c>
      <c r="H104" s="87"/>
      <c r="I104" s="88"/>
      <c r="J104" s="127"/>
      <c r="K104" s="87"/>
      <c r="L104" s="87"/>
      <c r="M104" s="146"/>
      <c r="N104" s="86"/>
    </row>
    <row r="105" spans="1:19" ht="33.75" customHeight="1">
      <c r="A105" s="147"/>
      <c r="B105" s="75" t="s">
        <v>47</v>
      </c>
      <c r="C105" s="16">
        <v>904</v>
      </c>
      <c r="D105" s="16">
        <v>702</v>
      </c>
      <c r="E105" s="1" t="s">
        <v>71</v>
      </c>
      <c r="F105" s="16">
        <v>612</v>
      </c>
      <c r="G105" s="87">
        <v>4139600</v>
      </c>
      <c r="H105" s="87"/>
      <c r="I105" s="88"/>
      <c r="J105" s="127"/>
      <c r="K105" s="87"/>
      <c r="L105" s="87"/>
      <c r="M105" s="146"/>
      <c r="N105" s="86"/>
    </row>
    <row r="106" spans="1:19" ht="36.75" customHeight="1">
      <c r="A106" s="145" t="s">
        <v>288</v>
      </c>
      <c r="B106" s="75" t="s">
        <v>47</v>
      </c>
      <c r="C106" s="16">
        <v>904</v>
      </c>
      <c r="D106" s="16">
        <v>702</v>
      </c>
      <c r="E106" s="1" t="s">
        <v>126</v>
      </c>
      <c r="F106" s="16">
        <v>612</v>
      </c>
      <c r="G106" s="87"/>
      <c r="H106" s="87">
        <v>16078107.289999999</v>
      </c>
      <c r="I106" s="88">
        <v>3896109.75</v>
      </c>
      <c r="J106" s="127"/>
      <c r="K106" s="87"/>
      <c r="L106" s="87"/>
      <c r="M106" s="145" t="s">
        <v>157</v>
      </c>
      <c r="N106" s="86"/>
    </row>
    <row r="107" spans="1:19" ht="36.75" customHeight="1">
      <c r="A107" s="146"/>
      <c r="B107" s="75" t="s">
        <v>44</v>
      </c>
      <c r="C107" s="16">
        <v>904</v>
      </c>
      <c r="D107" s="16">
        <v>702</v>
      </c>
      <c r="E107" s="1" t="s">
        <v>126</v>
      </c>
      <c r="F107" s="16">
        <v>612</v>
      </c>
      <c r="G107" s="87"/>
      <c r="H107" s="87">
        <v>4162405.13</v>
      </c>
      <c r="I107" s="88">
        <v>12081.92</v>
      </c>
      <c r="J107" s="127"/>
      <c r="K107" s="87"/>
      <c r="L107" s="87"/>
      <c r="M107" s="146"/>
      <c r="N107" s="86"/>
    </row>
    <row r="108" spans="1:19" ht="38.25" customHeight="1">
      <c r="A108" s="147"/>
      <c r="B108" s="75" t="s">
        <v>52</v>
      </c>
      <c r="C108" s="16">
        <v>904</v>
      </c>
      <c r="D108" s="16">
        <v>702</v>
      </c>
      <c r="E108" s="1" t="s">
        <v>126</v>
      </c>
      <c r="F108" s="16">
        <v>612</v>
      </c>
      <c r="G108" s="87"/>
      <c r="H108" s="87">
        <v>245678.25</v>
      </c>
      <c r="I108" s="88">
        <v>39477</v>
      </c>
      <c r="J108" s="127"/>
      <c r="K108" s="87"/>
      <c r="L108" s="87"/>
      <c r="M108" s="147"/>
      <c r="N108" s="86"/>
    </row>
    <row r="109" spans="1:19" ht="51" customHeight="1">
      <c r="A109" s="80" t="s">
        <v>289</v>
      </c>
      <c r="B109" s="75" t="s">
        <v>44</v>
      </c>
      <c r="C109" s="16">
        <v>904</v>
      </c>
      <c r="D109" s="16">
        <v>702</v>
      </c>
      <c r="E109" s="1" t="s">
        <v>160</v>
      </c>
      <c r="F109" s="16">
        <v>612</v>
      </c>
      <c r="G109" s="87">
        <v>3000000</v>
      </c>
      <c r="H109" s="87">
        <v>1000000</v>
      </c>
      <c r="I109" s="88"/>
      <c r="J109" s="127"/>
      <c r="K109" s="87"/>
      <c r="L109" s="87"/>
      <c r="M109" s="145" t="s">
        <v>155</v>
      </c>
      <c r="N109" s="86"/>
    </row>
    <row r="110" spans="1:19" ht="48" customHeight="1">
      <c r="A110" s="80" t="s">
        <v>290</v>
      </c>
      <c r="B110" s="75" t="s">
        <v>43</v>
      </c>
      <c r="C110" s="16">
        <v>904</v>
      </c>
      <c r="D110" s="16">
        <v>702</v>
      </c>
      <c r="E110" s="1" t="s">
        <v>161</v>
      </c>
      <c r="F110" s="16">
        <v>612</v>
      </c>
      <c r="G110" s="87">
        <v>61224.51</v>
      </c>
      <c r="H110" s="87">
        <v>20408.16</v>
      </c>
      <c r="I110" s="88"/>
      <c r="J110" s="127"/>
      <c r="K110" s="87"/>
      <c r="L110" s="87"/>
      <c r="M110" s="147"/>
      <c r="N110" s="86"/>
    </row>
    <row r="111" spans="1:19" ht="73.5" customHeight="1">
      <c r="A111" s="18" t="s">
        <v>291</v>
      </c>
      <c r="B111" s="75"/>
      <c r="C111" s="16"/>
      <c r="D111" s="16"/>
      <c r="E111" s="9" t="s">
        <v>125</v>
      </c>
      <c r="F111" s="16"/>
      <c r="G111" s="87"/>
      <c r="H111" s="21">
        <f>H112+H113+H114+H115+H116</f>
        <v>1270499.1799999997</v>
      </c>
      <c r="I111" s="69">
        <f>I112+I113</f>
        <v>2551746.0299999998</v>
      </c>
      <c r="J111" s="127"/>
      <c r="K111" s="87"/>
      <c r="L111" s="87"/>
      <c r="M111" s="80"/>
      <c r="N111" s="86"/>
    </row>
    <row r="112" spans="1:19" ht="54.75" customHeight="1">
      <c r="A112" s="145" t="s">
        <v>292</v>
      </c>
      <c r="B112" s="75" t="s">
        <v>47</v>
      </c>
      <c r="C112" s="16">
        <v>904</v>
      </c>
      <c r="D112" s="16">
        <v>702</v>
      </c>
      <c r="E112" s="1" t="s">
        <v>145</v>
      </c>
      <c r="F112" s="16">
        <v>612</v>
      </c>
      <c r="G112" s="87"/>
      <c r="H112" s="87">
        <v>320276.19</v>
      </c>
      <c r="I112" s="88">
        <v>2526228.5699999998</v>
      </c>
      <c r="J112" s="127"/>
      <c r="K112" s="87"/>
      <c r="L112" s="87"/>
      <c r="M112" s="145" t="s">
        <v>219</v>
      </c>
      <c r="N112" s="86"/>
    </row>
    <row r="113" spans="1:14" ht="61.5" customHeight="1">
      <c r="A113" s="154"/>
      <c r="B113" s="75" t="s">
        <v>44</v>
      </c>
      <c r="C113" s="16">
        <v>904</v>
      </c>
      <c r="D113" s="16">
        <v>702</v>
      </c>
      <c r="E113" s="1" t="s">
        <v>145</v>
      </c>
      <c r="F113" s="16">
        <v>612</v>
      </c>
      <c r="G113" s="87"/>
      <c r="H113" s="87">
        <v>3235.11</v>
      </c>
      <c r="I113" s="88">
        <v>25517.46</v>
      </c>
      <c r="J113" s="127"/>
      <c r="K113" s="87"/>
      <c r="L113" s="87"/>
      <c r="M113" s="146"/>
      <c r="N113" s="86"/>
    </row>
    <row r="114" spans="1:14" ht="39.75" customHeight="1">
      <c r="A114" s="145" t="s">
        <v>293</v>
      </c>
      <c r="B114" s="75" t="s">
        <v>47</v>
      </c>
      <c r="C114" s="16">
        <v>904</v>
      </c>
      <c r="D114" s="16">
        <v>702</v>
      </c>
      <c r="E114" s="1" t="s">
        <v>145</v>
      </c>
      <c r="F114" s="16">
        <v>611</v>
      </c>
      <c r="G114" s="87"/>
      <c r="H114" s="87">
        <v>928142.82</v>
      </c>
      <c r="I114" s="88"/>
      <c r="J114" s="127"/>
      <c r="K114" s="87"/>
      <c r="L114" s="87"/>
      <c r="M114" s="145" t="s">
        <v>129</v>
      </c>
      <c r="N114" s="86"/>
    </row>
    <row r="115" spans="1:14" ht="39" customHeight="1">
      <c r="A115" s="146"/>
      <c r="B115" s="75" t="s">
        <v>44</v>
      </c>
      <c r="C115" s="16">
        <v>904</v>
      </c>
      <c r="D115" s="16">
        <v>702</v>
      </c>
      <c r="E115" s="1" t="s">
        <v>145</v>
      </c>
      <c r="F115" s="16">
        <v>611</v>
      </c>
      <c r="G115" s="87"/>
      <c r="H115" s="87">
        <v>9375.18</v>
      </c>
      <c r="I115" s="88"/>
      <c r="J115" s="127"/>
      <c r="K115" s="87"/>
      <c r="L115" s="87"/>
      <c r="M115" s="146"/>
      <c r="N115" s="86"/>
    </row>
    <row r="116" spans="1:14" ht="51.75" customHeight="1">
      <c r="A116" s="147"/>
      <c r="B116" s="75" t="s">
        <v>52</v>
      </c>
      <c r="C116" s="16"/>
      <c r="D116" s="16"/>
      <c r="E116" s="1"/>
      <c r="F116" s="16"/>
      <c r="G116" s="87"/>
      <c r="H116" s="87">
        <v>9469.8799999999992</v>
      </c>
      <c r="I116" s="88"/>
      <c r="J116" s="127"/>
      <c r="K116" s="87"/>
      <c r="L116" s="87"/>
      <c r="M116" s="147"/>
      <c r="N116" s="86"/>
    </row>
    <row r="117" spans="1:14" ht="51.75" customHeight="1">
      <c r="A117" s="82" t="s">
        <v>294</v>
      </c>
      <c r="B117" s="75"/>
      <c r="C117" s="16"/>
      <c r="D117" s="16"/>
      <c r="E117" s="9" t="s">
        <v>180</v>
      </c>
      <c r="F117" s="16"/>
      <c r="G117" s="21">
        <f t="shared" ref="G117:I117" si="9">SUM(G118:G120)</f>
        <v>0</v>
      </c>
      <c r="H117" s="21">
        <f t="shared" si="9"/>
        <v>0</v>
      </c>
      <c r="I117" s="21">
        <f t="shared" si="9"/>
        <v>0</v>
      </c>
      <c r="J117" s="123">
        <f>SUM(J118:J123)</f>
        <v>2542849.2000000002</v>
      </c>
      <c r="K117" s="21">
        <f>SUM(K118:K123)</f>
        <v>25405611.68</v>
      </c>
      <c r="L117" s="21">
        <f>SUM(L118:L123)</f>
        <v>275235465.76000005</v>
      </c>
      <c r="M117" s="80"/>
      <c r="N117" s="86"/>
    </row>
    <row r="118" spans="1:14" ht="51.75" customHeight="1">
      <c r="A118" s="145" t="s">
        <v>295</v>
      </c>
      <c r="B118" s="75" t="s">
        <v>47</v>
      </c>
      <c r="C118" s="16">
        <v>904</v>
      </c>
      <c r="D118" s="16">
        <v>702</v>
      </c>
      <c r="E118" s="1" t="s">
        <v>182</v>
      </c>
      <c r="F118" s="16"/>
      <c r="G118" s="87"/>
      <c r="H118" s="87"/>
      <c r="I118" s="88"/>
      <c r="J118" s="127">
        <v>2492246</v>
      </c>
      <c r="K118" s="87"/>
      <c r="L118" s="87"/>
      <c r="M118" s="145" t="s">
        <v>229</v>
      </c>
      <c r="N118" s="86"/>
    </row>
    <row r="119" spans="1:14" ht="42" customHeight="1">
      <c r="A119" s="146"/>
      <c r="B119" s="75" t="s">
        <v>44</v>
      </c>
      <c r="C119" s="16">
        <v>904</v>
      </c>
      <c r="D119" s="16">
        <v>702</v>
      </c>
      <c r="E119" s="1" t="s">
        <v>182</v>
      </c>
      <c r="F119" s="16"/>
      <c r="G119" s="87"/>
      <c r="H119" s="87"/>
      <c r="I119" s="88"/>
      <c r="J119" s="127">
        <v>25174.2</v>
      </c>
      <c r="K119" s="87"/>
      <c r="L119" s="87"/>
      <c r="M119" s="146"/>
      <c r="N119" s="86"/>
    </row>
    <row r="120" spans="1:14" ht="39.75" customHeight="1">
      <c r="A120" s="146"/>
      <c r="B120" s="75" t="s">
        <v>52</v>
      </c>
      <c r="C120" s="16">
        <v>904</v>
      </c>
      <c r="D120" s="16">
        <v>702</v>
      </c>
      <c r="E120" s="1" t="s">
        <v>182</v>
      </c>
      <c r="F120" s="16"/>
      <c r="G120" s="87"/>
      <c r="H120" s="87"/>
      <c r="I120" s="88"/>
      <c r="J120" s="127">
        <v>25429</v>
      </c>
      <c r="K120" s="87"/>
      <c r="L120" s="87"/>
      <c r="M120" s="147"/>
      <c r="N120" s="86"/>
    </row>
    <row r="121" spans="1:14" ht="51.75" customHeight="1">
      <c r="A121" s="145" t="s">
        <v>296</v>
      </c>
      <c r="B121" s="75" t="s">
        <v>217</v>
      </c>
      <c r="C121" s="16">
        <v>910</v>
      </c>
      <c r="D121" s="16">
        <v>702</v>
      </c>
      <c r="E121" s="1" t="s">
        <v>179</v>
      </c>
      <c r="F121" s="16"/>
      <c r="G121" s="87"/>
      <c r="H121" s="87"/>
      <c r="I121" s="88"/>
      <c r="J121" s="137"/>
      <c r="K121" s="87">
        <v>22636400</v>
      </c>
      <c r="L121" s="87">
        <v>245234800</v>
      </c>
      <c r="M121" s="145" t="s">
        <v>228</v>
      </c>
      <c r="N121" s="86" t="s">
        <v>226</v>
      </c>
    </row>
    <row r="122" spans="1:14" ht="44.25" customHeight="1">
      <c r="A122" s="146"/>
      <c r="B122" s="75" t="s">
        <v>218</v>
      </c>
      <c r="C122" s="16">
        <v>910</v>
      </c>
      <c r="D122" s="16">
        <v>702</v>
      </c>
      <c r="E122" s="1" t="s">
        <v>179</v>
      </c>
      <c r="F122" s="16"/>
      <c r="G122" s="87"/>
      <c r="H122" s="87"/>
      <c r="I122" s="88"/>
      <c r="J122" s="137"/>
      <c r="K122" s="87">
        <v>2515155.56</v>
      </c>
      <c r="L122" s="87">
        <v>27248311.100000001</v>
      </c>
      <c r="M122" s="146"/>
      <c r="N122" s="86"/>
    </row>
    <row r="123" spans="1:14" ht="40.5" customHeight="1">
      <c r="A123" s="147"/>
      <c r="B123" s="75" t="s">
        <v>215</v>
      </c>
      <c r="C123" s="16">
        <v>910</v>
      </c>
      <c r="D123" s="16">
        <v>702</v>
      </c>
      <c r="E123" s="1" t="s">
        <v>179</v>
      </c>
      <c r="F123" s="16"/>
      <c r="G123" s="87"/>
      <c r="H123" s="87"/>
      <c r="I123" s="88"/>
      <c r="J123" s="137"/>
      <c r="K123" s="87">
        <v>254056.12</v>
      </c>
      <c r="L123" s="87">
        <v>2752354.66</v>
      </c>
      <c r="M123" s="147"/>
      <c r="N123" s="86"/>
    </row>
    <row r="124" spans="1:14" ht="51.75" customHeight="1">
      <c r="A124" s="7" t="s">
        <v>297</v>
      </c>
      <c r="B124" s="7"/>
      <c r="C124" s="8"/>
      <c r="D124" s="8"/>
      <c r="E124" s="9" t="s">
        <v>185</v>
      </c>
      <c r="F124" s="8"/>
      <c r="G124" s="21">
        <f>SUM(G117:G120)</f>
        <v>0</v>
      </c>
      <c r="H124" s="21">
        <f>SUM(H125:H128)</f>
        <v>0</v>
      </c>
      <c r="I124" s="21">
        <f>SUM(I125:I128)</f>
        <v>0</v>
      </c>
      <c r="J124" s="123">
        <f>SUM(J125:J128)</f>
        <v>77638358.799999997</v>
      </c>
      <c r="K124" s="21">
        <f>SUM(K125:K128)</f>
        <v>74578936</v>
      </c>
      <c r="L124" s="21">
        <f>SUM(L125:L128)</f>
        <v>74203928</v>
      </c>
      <c r="M124" s="80"/>
      <c r="N124" s="86"/>
    </row>
    <row r="125" spans="1:14" ht="212.25" customHeight="1">
      <c r="A125" s="80" t="s">
        <v>298</v>
      </c>
      <c r="B125" s="75" t="s">
        <v>47</v>
      </c>
      <c r="C125" s="16">
        <v>904</v>
      </c>
      <c r="D125" s="16">
        <v>702</v>
      </c>
      <c r="E125" s="1" t="s">
        <v>183</v>
      </c>
      <c r="F125" s="16"/>
      <c r="G125" s="87"/>
      <c r="H125" s="87"/>
      <c r="I125" s="88"/>
      <c r="J125" s="127">
        <v>999936</v>
      </c>
      <c r="K125" s="87">
        <v>999936</v>
      </c>
      <c r="L125" s="87">
        <v>1124928</v>
      </c>
      <c r="M125" s="80" t="s">
        <v>222</v>
      </c>
      <c r="N125" s="86"/>
    </row>
    <row r="126" spans="1:14" ht="63" customHeight="1">
      <c r="A126" s="145" t="s">
        <v>299</v>
      </c>
      <c r="B126" s="75" t="s">
        <v>47</v>
      </c>
      <c r="C126" s="16">
        <v>904</v>
      </c>
      <c r="D126" s="16">
        <v>702</v>
      </c>
      <c r="E126" s="1" t="s">
        <v>221</v>
      </c>
      <c r="F126" s="16"/>
      <c r="G126" s="87"/>
      <c r="H126" s="87"/>
      <c r="I126" s="88"/>
      <c r="J126" s="127">
        <v>2533828.5699999998</v>
      </c>
      <c r="K126" s="87"/>
      <c r="L126" s="87"/>
      <c r="M126" s="145" t="s">
        <v>219</v>
      </c>
      <c r="N126" s="86"/>
    </row>
    <row r="127" spans="1:14" ht="42.75" customHeight="1">
      <c r="A127" s="147"/>
      <c r="B127" s="75" t="s">
        <v>44</v>
      </c>
      <c r="C127" s="16">
        <v>904</v>
      </c>
      <c r="D127" s="16">
        <v>702</v>
      </c>
      <c r="E127" s="1" t="s">
        <v>221</v>
      </c>
      <c r="F127" s="16"/>
      <c r="G127" s="87"/>
      <c r="H127" s="87"/>
      <c r="I127" s="88"/>
      <c r="J127" s="127">
        <v>25594.23</v>
      </c>
      <c r="K127" s="87"/>
      <c r="L127" s="87"/>
      <c r="M127" s="147"/>
      <c r="N127" s="86"/>
    </row>
    <row r="128" spans="1:14" ht="165" customHeight="1">
      <c r="A128" s="80" t="s">
        <v>300</v>
      </c>
      <c r="B128" s="75" t="s">
        <v>47</v>
      </c>
      <c r="C128" s="16">
        <v>904</v>
      </c>
      <c r="D128" s="16">
        <v>702</v>
      </c>
      <c r="E128" s="1" t="s">
        <v>184</v>
      </c>
      <c r="F128" s="16"/>
      <c r="G128" s="87"/>
      <c r="H128" s="87"/>
      <c r="I128" s="88"/>
      <c r="J128" s="127">
        <v>74079000</v>
      </c>
      <c r="K128" s="87">
        <v>73579000</v>
      </c>
      <c r="L128" s="87">
        <v>73079000</v>
      </c>
      <c r="M128" s="80" t="s">
        <v>219</v>
      </c>
      <c r="N128" s="86"/>
    </row>
    <row r="129" spans="1:18" ht="49.5" customHeight="1">
      <c r="A129" s="7" t="s">
        <v>301</v>
      </c>
      <c r="B129" s="103"/>
      <c r="C129" s="16"/>
      <c r="D129" s="16"/>
      <c r="E129" s="9" t="s">
        <v>181</v>
      </c>
      <c r="F129" s="16"/>
      <c r="G129" s="21"/>
      <c r="H129" s="21"/>
      <c r="I129" s="21"/>
      <c r="J129" s="123"/>
      <c r="K129" s="21">
        <f>SUM(K130:K132)</f>
        <v>27151413.989999998</v>
      </c>
      <c r="L129" s="21"/>
      <c r="M129" s="104"/>
      <c r="N129" s="106"/>
    </row>
    <row r="130" spans="1:18" ht="40.5" customHeight="1">
      <c r="A130" s="141" t="s">
        <v>302</v>
      </c>
      <c r="B130" s="105" t="s">
        <v>46</v>
      </c>
      <c r="C130" s="16">
        <v>910</v>
      </c>
      <c r="D130" s="16">
        <v>702</v>
      </c>
      <c r="E130" s="1" t="s">
        <v>186</v>
      </c>
      <c r="F130" s="16"/>
      <c r="G130" s="87"/>
      <c r="H130" s="87"/>
      <c r="I130" s="88"/>
      <c r="J130" s="127"/>
      <c r="K130" s="87">
        <v>26611100</v>
      </c>
      <c r="L130" s="87"/>
      <c r="M130" s="145" t="s">
        <v>232</v>
      </c>
      <c r="N130" s="106"/>
    </row>
    <row r="131" spans="1:18" ht="40.5" customHeight="1">
      <c r="A131" s="141"/>
      <c r="B131" s="105" t="s">
        <v>231</v>
      </c>
      <c r="C131" s="16">
        <v>910</v>
      </c>
      <c r="D131" s="16">
        <v>702</v>
      </c>
      <c r="E131" s="1" t="s">
        <v>186</v>
      </c>
      <c r="F131" s="16"/>
      <c r="G131" s="87"/>
      <c r="H131" s="87"/>
      <c r="I131" s="88"/>
      <c r="J131" s="127"/>
      <c r="K131" s="87">
        <v>268798.99</v>
      </c>
      <c r="L131" s="87"/>
      <c r="M131" s="146"/>
      <c r="N131" s="106"/>
    </row>
    <row r="132" spans="1:18" ht="39" customHeight="1">
      <c r="A132" s="141"/>
      <c r="B132" s="105" t="s">
        <v>43</v>
      </c>
      <c r="C132" s="16">
        <v>910</v>
      </c>
      <c r="D132" s="16">
        <v>702</v>
      </c>
      <c r="E132" s="1" t="s">
        <v>186</v>
      </c>
      <c r="F132" s="16"/>
      <c r="G132" s="87"/>
      <c r="H132" s="87"/>
      <c r="I132" s="88"/>
      <c r="J132" s="127"/>
      <c r="K132" s="87">
        <v>271515</v>
      </c>
      <c r="L132" s="87"/>
      <c r="M132" s="147"/>
      <c r="N132" s="106"/>
    </row>
    <row r="133" spans="1:18" ht="83.25" customHeight="1">
      <c r="A133" s="76" t="s">
        <v>137</v>
      </c>
      <c r="B133" s="75"/>
      <c r="C133" s="16"/>
      <c r="D133" s="16"/>
      <c r="E133" s="4" t="s">
        <v>24</v>
      </c>
      <c r="F133" s="16"/>
      <c r="G133" s="19">
        <f>G134+G141+G144</f>
        <v>65621018.909999996</v>
      </c>
      <c r="H133" s="19">
        <f>H134+H141+H144</f>
        <v>76618949.960000023</v>
      </c>
      <c r="I133" s="69">
        <f>I134+I141+I144+I149</f>
        <v>35331153.079999998</v>
      </c>
      <c r="J133" s="129">
        <f>J134+J141+J144</f>
        <v>30941019.789999999</v>
      </c>
      <c r="K133" s="19">
        <f>K134+K141+K144</f>
        <v>33043247.789999999</v>
      </c>
      <c r="L133" s="19">
        <f>L134+L141+L144</f>
        <v>30046247.789999999</v>
      </c>
      <c r="M133" s="75"/>
      <c r="N133" s="5"/>
    </row>
    <row r="134" spans="1:18" ht="66.75" customHeight="1">
      <c r="A134" s="7" t="s">
        <v>89</v>
      </c>
      <c r="B134" s="14"/>
      <c r="C134" s="15"/>
      <c r="D134" s="15"/>
      <c r="E134" s="9" t="s">
        <v>25</v>
      </c>
      <c r="F134" s="15"/>
      <c r="G134" s="21">
        <f>SUM(G135:G138)+G139</f>
        <v>59963043.909999996</v>
      </c>
      <c r="H134" s="21">
        <f>SUM(H135:H140)</f>
        <v>69423121.200000018</v>
      </c>
      <c r="I134" s="21">
        <f>SUM(I135:I140)</f>
        <v>20049005.77</v>
      </c>
      <c r="J134" s="123">
        <f>SUM(J135:J140)</f>
        <v>16950419.789999999</v>
      </c>
      <c r="K134" s="21">
        <f>SUM(K135:K140)</f>
        <v>19231647.789999999</v>
      </c>
      <c r="L134" s="21">
        <f>SUM(L135:L140)</f>
        <v>16234647.789999999</v>
      </c>
      <c r="M134" s="75"/>
      <c r="N134" s="5"/>
    </row>
    <row r="135" spans="1:18" ht="81.75" customHeight="1">
      <c r="A135" s="75" t="s">
        <v>152</v>
      </c>
      <c r="B135" s="75" t="s">
        <v>49</v>
      </c>
      <c r="C135" s="16">
        <v>905</v>
      </c>
      <c r="D135" s="16">
        <v>703</v>
      </c>
      <c r="E135" s="1" t="s">
        <v>27</v>
      </c>
      <c r="F135" s="16">
        <v>611</v>
      </c>
      <c r="G135" s="87">
        <v>15734979.48</v>
      </c>
      <c r="H135" s="87">
        <v>18454513.5</v>
      </c>
      <c r="I135" s="88"/>
      <c r="J135" s="127"/>
      <c r="K135" s="87"/>
      <c r="L135" s="87"/>
      <c r="M135" s="75" t="s">
        <v>98</v>
      </c>
      <c r="N135" s="142" t="s">
        <v>51</v>
      </c>
    </row>
    <row r="136" spans="1:18" ht="82.5" customHeight="1">
      <c r="A136" s="75" t="s">
        <v>153</v>
      </c>
      <c r="B136" s="75" t="s">
        <v>43</v>
      </c>
      <c r="C136" s="16">
        <v>904</v>
      </c>
      <c r="D136" s="16">
        <v>703</v>
      </c>
      <c r="E136" s="1" t="s">
        <v>26</v>
      </c>
      <c r="F136" s="16">
        <v>611</v>
      </c>
      <c r="G136" s="87">
        <v>15167283</v>
      </c>
      <c r="H136" s="87">
        <v>15697265.6</v>
      </c>
      <c r="I136" s="88">
        <f>17185289+1660000</f>
        <v>18845289</v>
      </c>
      <c r="J136" s="127">
        <v>16220647.789999999</v>
      </c>
      <c r="K136" s="87">
        <v>16220647.789999999</v>
      </c>
      <c r="L136" s="87">
        <v>16220647.789999999</v>
      </c>
      <c r="M136" s="75" t="s">
        <v>98</v>
      </c>
      <c r="N136" s="143"/>
    </row>
    <row r="137" spans="1:18" ht="82.5" customHeight="1">
      <c r="A137" s="75" t="s">
        <v>119</v>
      </c>
      <c r="B137" s="75" t="s">
        <v>49</v>
      </c>
      <c r="C137" s="16">
        <v>905</v>
      </c>
      <c r="D137" s="16">
        <v>703</v>
      </c>
      <c r="E137" s="1" t="s">
        <v>28</v>
      </c>
      <c r="F137" s="16">
        <v>611</v>
      </c>
      <c r="G137" s="87">
        <v>27533059.43</v>
      </c>
      <c r="H137" s="87">
        <v>34641197.700000003</v>
      </c>
      <c r="I137" s="88"/>
      <c r="J137" s="127"/>
      <c r="K137" s="87"/>
      <c r="L137" s="87"/>
      <c r="M137" s="75" t="s">
        <v>98</v>
      </c>
      <c r="N137" s="143"/>
    </row>
    <row r="138" spans="1:18" ht="98.25" customHeight="1">
      <c r="A138" s="13" t="s">
        <v>169</v>
      </c>
      <c r="B138" s="75" t="s">
        <v>44</v>
      </c>
      <c r="C138" s="53">
        <v>904</v>
      </c>
      <c r="D138" s="53">
        <v>703</v>
      </c>
      <c r="E138" s="51" t="s">
        <v>170</v>
      </c>
      <c r="F138" s="52"/>
      <c r="G138" s="52"/>
      <c r="H138" s="52"/>
      <c r="I138" s="71">
        <v>15011.77</v>
      </c>
      <c r="J138" s="137"/>
      <c r="K138" s="52"/>
      <c r="L138" s="52"/>
      <c r="M138" s="10" t="s">
        <v>220</v>
      </c>
      <c r="N138" s="143"/>
    </row>
    <row r="139" spans="1:18" ht="81" customHeight="1">
      <c r="A139" s="145" t="s">
        <v>171</v>
      </c>
      <c r="B139" s="75" t="s">
        <v>43</v>
      </c>
      <c r="C139" s="16">
        <v>904</v>
      </c>
      <c r="D139" s="16">
        <v>703</v>
      </c>
      <c r="E139" s="16">
        <v>3220122410</v>
      </c>
      <c r="F139" s="16">
        <v>612</v>
      </c>
      <c r="G139" s="87">
        <v>1527722</v>
      </c>
      <c r="H139" s="88">
        <v>64000</v>
      </c>
      <c r="I139" s="88">
        <f>1218705-30000</f>
        <v>1188705</v>
      </c>
      <c r="J139" s="127">
        <f>910553-180781</f>
        <v>729772</v>
      </c>
      <c r="K139" s="87">
        <v>3011000</v>
      </c>
      <c r="L139" s="87">
        <v>14000</v>
      </c>
      <c r="M139" s="75" t="s">
        <v>106</v>
      </c>
      <c r="N139" s="143"/>
    </row>
    <row r="140" spans="1:18" ht="128.25" customHeight="1">
      <c r="A140" s="146"/>
      <c r="B140" s="75" t="s">
        <v>49</v>
      </c>
      <c r="C140" s="16">
        <v>905</v>
      </c>
      <c r="D140" s="16">
        <v>703</v>
      </c>
      <c r="E140" s="16">
        <v>3220122410</v>
      </c>
      <c r="F140" s="16">
        <v>612</v>
      </c>
      <c r="G140" s="87"/>
      <c r="H140" s="87">
        <v>566144.4</v>
      </c>
      <c r="I140" s="88"/>
      <c r="J140" s="127"/>
      <c r="K140" s="87"/>
      <c r="L140" s="87"/>
      <c r="M140" s="75" t="s">
        <v>53</v>
      </c>
      <c r="N140" s="143"/>
      <c r="O140" s="54"/>
      <c r="P140" s="54"/>
      <c r="Q140" s="54"/>
      <c r="R140" s="54"/>
    </row>
    <row r="141" spans="1:18" ht="67.5" customHeight="1">
      <c r="A141" s="7" t="s">
        <v>90</v>
      </c>
      <c r="B141" s="14"/>
      <c r="C141" s="15"/>
      <c r="D141" s="15"/>
      <c r="E141" s="9" t="s">
        <v>29</v>
      </c>
      <c r="F141" s="15"/>
      <c r="G141" s="21">
        <f>G142+G143</f>
        <v>170000</v>
      </c>
      <c r="H141" s="21">
        <f t="shared" ref="H141:L141" si="10">H142+H143</f>
        <v>343000</v>
      </c>
      <c r="I141" s="21">
        <f t="shared" si="10"/>
        <v>1086980.04</v>
      </c>
      <c r="J141" s="123">
        <f t="shared" si="10"/>
        <v>349000</v>
      </c>
      <c r="K141" s="21">
        <f t="shared" si="10"/>
        <v>170000</v>
      </c>
      <c r="L141" s="21">
        <f t="shared" si="10"/>
        <v>170000</v>
      </c>
      <c r="M141" s="75"/>
      <c r="N141" s="5"/>
    </row>
    <row r="142" spans="1:18" ht="142.5" customHeight="1">
      <c r="A142" s="145" t="s">
        <v>138</v>
      </c>
      <c r="B142" s="145" t="s">
        <v>43</v>
      </c>
      <c r="C142" s="16">
        <v>904</v>
      </c>
      <c r="D142" s="16">
        <v>709</v>
      </c>
      <c r="E142" s="1" t="s">
        <v>30</v>
      </c>
      <c r="F142" s="16">
        <v>244</v>
      </c>
      <c r="G142" s="87">
        <v>90000</v>
      </c>
      <c r="H142" s="87">
        <v>298000</v>
      </c>
      <c r="I142" s="88">
        <f>468000+500000+43300+8000-4319.96</f>
        <v>1014980.04</v>
      </c>
      <c r="J142" s="127">
        <v>269000</v>
      </c>
      <c r="K142" s="87">
        <v>90000</v>
      </c>
      <c r="L142" s="87">
        <v>90000</v>
      </c>
      <c r="M142" s="113" t="s">
        <v>107</v>
      </c>
      <c r="N142" s="142" t="s">
        <v>61</v>
      </c>
    </row>
    <row r="143" spans="1:18" ht="15.75" customHeight="1">
      <c r="A143" s="147"/>
      <c r="B143" s="147"/>
      <c r="C143" s="16">
        <v>904</v>
      </c>
      <c r="D143" s="16">
        <v>709</v>
      </c>
      <c r="E143" s="1" t="s">
        <v>30</v>
      </c>
      <c r="F143" s="16">
        <v>350</v>
      </c>
      <c r="G143" s="87">
        <v>80000</v>
      </c>
      <c r="H143" s="87">
        <v>45000</v>
      </c>
      <c r="I143" s="88">
        <f>80000-8000</f>
        <v>72000</v>
      </c>
      <c r="J143" s="127">
        <v>80000</v>
      </c>
      <c r="K143" s="87">
        <v>80000</v>
      </c>
      <c r="L143" s="87">
        <v>80000</v>
      </c>
      <c r="M143" s="13" t="s">
        <v>108</v>
      </c>
      <c r="N143" s="144"/>
    </row>
    <row r="144" spans="1:18" ht="81" customHeight="1">
      <c r="A144" s="83" t="s">
        <v>91</v>
      </c>
      <c r="B144" s="80"/>
      <c r="C144" s="16"/>
      <c r="D144" s="16"/>
      <c r="E144" s="9" t="s">
        <v>74</v>
      </c>
      <c r="F144" s="16"/>
      <c r="G144" s="21">
        <f>G145+G146+G147+G148</f>
        <v>5487975</v>
      </c>
      <c r="H144" s="21">
        <f t="shared" ref="H144:L144" si="11">H145+H146+H147+H148</f>
        <v>6852828.7599999998</v>
      </c>
      <c r="I144" s="21">
        <f t="shared" si="11"/>
        <v>7218840</v>
      </c>
      <c r="J144" s="123">
        <f t="shared" si="11"/>
        <v>13641600</v>
      </c>
      <c r="K144" s="21">
        <f t="shared" si="11"/>
        <v>13641600</v>
      </c>
      <c r="L144" s="21">
        <f t="shared" si="11"/>
        <v>13641600</v>
      </c>
      <c r="M144" s="13"/>
      <c r="N144" s="86"/>
    </row>
    <row r="145" spans="1:14" ht="51.75" customHeight="1">
      <c r="A145" s="145" t="s">
        <v>118</v>
      </c>
      <c r="B145" s="145" t="s">
        <v>43</v>
      </c>
      <c r="C145" s="16">
        <v>904</v>
      </c>
      <c r="D145" s="16" t="s">
        <v>72</v>
      </c>
      <c r="E145" s="1" t="s">
        <v>73</v>
      </c>
      <c r="F145" s="16">
        <v>611</v>
      </c>
      <c r="G145" s="87">
        <v>5487975</v>
      </c>
      <c r="H145" s="87">
        <v>6852828.7599999998</v>
      </c>
      <c r="I145" s="88">
        <f>12918840-5760000</f>
        <v>7158840</v>
      </c>
      <c r="J145" s="127">
        <v>13491600</v>
      </c>
      <c r="K145" s="87">
        <v>13491600</v>
      </c>
      <c r="L145" s="87">
        <v>13491600</v>
      </c>
      <c r="M145" s="145" t="s">
        <v>150</v>
      </c>
      <c r="N145" s="86"/>
    </row>
    <row r="146" spans="1:14" ht="34.9" customHeight="1">
      <c r="A146" s="146"/>
      <c r="B146" s="146"/>
      <c r="C146" s="16">
        <v>904</v>
      </c>
      <c r="D146" s="16" t="s">
        <v>72</v>
      </c>
      <c r="E146" s="1" t="s">
        <v>73</v>
      </c>
      <c r="F146" s="16">
        <v>620</v>
      </c>
      <c r="G146" s="87">
        <v>0</v>
      </c>
      <c r="H146" s="87">
        <v>0</v>
      </c>
      <c r="I146" s="88">
        <v>20000</v>
      </c>
      <c r="J146" s="127">
        <v>50000</v>
      </c>
      <c r="K146" s="87">
        <v>50000</v>
      </c>
      <c r="L146" s="87">
        <v>50000</v>
      </c>
      <c r="M146" s="146"/>
      <c r="N146" s="86"/>
    </row>
    <row r="147" spans="1:14" ht="21.75" customHeight="1">
      <c r="A147" s="146"/>
      <c r="B147" s="146"/>
      <c r="C147" s="16">
        <v>904</v>
      </c>
      <c r="D147" s="16" t="s">
        <v>72</v>
      </c>
      <c r="E147" s="1" t="s">
        <v>73</v>
      </c>
      <c r="F147" s="16">
        <v>630</v>
      </c>
      <c r="G147" s="87">
        <v>0</v>
      </c>
      <c r="H147" s="87">
        <v>0</v>
      </c>
      <c r="I147" s="88">
        <v>20000</v>
      </c>
      <c r="J147" s="127">
        <v>50000</v>
      </c>
      <c r="K147" s="87">
        <v>50000</v>
      </c>
      <c r="L147" s="87">
        <v>50000</v>
      </c>
      <c r="M147" s="146"/>
      <c r="N147" s="86"/>
    </row>
    <row r="148" spans="1:14" ht="18" customHeight="1">
      <c r="A148" s="146"/>
      <c r="B148" s="147"/>
      <c r="C148" s="16">
        <v>904</v>
      </c>
      <c r="D148" s="16" t="s">
        <v>72</v>
      </c>
      <c r="E148" s="1" t="s">
        <v>73</v>
      </c>
      <c r="F148" s="16">
        <v>810</v>
      </c>
      <c r="G148" s="87">
        <v>0</v>
      </c>
      <c r="H148" s="87">
        <v>0</v>
      </c>
      <c r="I148" s="88">
        <v>20000</v>
      </c>
      <c r="J148" s="127">
        <v>50000</v>
      </c>
      <c r="K148" s="87">
        <v>50000</v>
      </c>
      <c r="L148" s="87">
        <v>50000</v>
      </c>
      <c r="M148" s="147"/>
      <c r="N148" s="86"/>
    </row>
    <row r="149" spans="1:14" ht="49.5" customHeight="1">
      <c r="A149" s="83" t="s">
        <v>162</v>
      </c>
      <c r="B149" s="80"/>
      <c r="C149" s="16"/>
      <c r="D149" s="16"/>
      <c r="E149" s="9" t="s">
        <v>165</v>
      </c>
      <c r="F149" s="16"/>
      <c r="G149" s="87"/>
      <c r="H149" s="87"/>
      <c r="I149" s="62">
        <f>I150+I151+I152</f>
        <v>6976327.2699999996</v>
      </c>
      <c r="J149" s="127"/>
      <c r="K149" s="87"/>
      <c r="L149" s="87"/>
      <c r="M149" s="13"/>
      <c r="N149" s="86"/>
    </row>
    <row r="150" spans="1:14" ht="44.25" customHeight="1">
      <c r="A150" s="157" t="s">
        <v>163</v>
      </c>
      <c r="B150" s="80" t="s">
        <v>47</v>
      </c>
      <c r="C150" s="16">
        <v>904</v>
      </c>
      <c r="D150" s="16">
        <v>703</v>
      </c>
      <c r="E150" s="1" t="s">
        <v>164</v>
      </c>
      <c r="F150" s="16">
        <v>612</v>
      </c>
      <c r="G150" s="87"/>
      <c r="H150" s="87"/>
      <c r="I150" s="88">
        <v>6837498.3600000003</v>
      </c>
      <c r="J150" s="127"/>
      <c r="K150" s="87"/>
      <c r="L150" s="87"/>
      <c r="M150" s="142"/>
      <c r="N150" s="86"/>
    </row>
    <row r="151" spans="1:14" ht="51" customHeight="1">
      <c r="A151" s="158"/>
      <c r="B151" s="80" t="s">
        <v>44</v>
      </c>
      <c r="C151" s="16">
        <v>904</v>
      </c>
      <c r="D151" s="16">
        <v>703</v>
      </c>
      <c r="E151" s="1" t="s">
        <v>164</v>
      </c>
      <c r="F151" s="16">
        <v>612</v>
      </c>
      <c r="G151" s="87"/>
      <c r="H151" s="87"/>
      <c r="I151" s="88">
        <v>69065.64</v>
      </c>
      <c r="J151" s="127"/>
      <c r="K151" s="87"/>
      <c r="L151" s="87"/>
      <c r="M151" s="143"/>
      <c r="N151" s="86"/>
    </row>
    <row r="152" spans="1:14" ht="72.75" customHeight="1">
      <c r="A152" s="159"/>
      <c r="B152" s="80" t="s">
        <v>43</v>
      </c>
      <c r="C152" s="16">
        <v>904</v>
      </c>
      <c r="D152" s="16">
        <v>703</v>
      </c>
      <c r="E152" s="1" t="s">
        <v>164</v>
      </c>
      <c r="F152" s="16">
        <v>612</v>
      </c>
      <c r="G152" s="87"/>
      <c r="H152" s="87"/>
      <c r="I152" s="88">
        <f>69764-0.73</f>
        <v>69763.27</v>
      </c>
      <c r="J152" s="127"/>
      <c r="K152" s="87"/>
      <c r="L152" s="87"/>
      <c r="M152" s="144"/>
      <c r="N152" s="86"/>
    </row>
    <row r="153" spans="1:14" ht="36" customHeight="1">
      <c r="A153" s="76" t="s">
        <v>92</v>
      </c>
      <c r="B153" s="75"/>
      <c r="C153" s="16"/>
      <c r="D153" s="13"/>
      <c r="E153" s="4" t="s">
        <v>34</v>
      </c>
      <c r="F153" s="16"/>
      <c r="G153" s="19">
        <f>G154</f>
        <v>231298.14</v>
      </c>
      <c r="H153" s="19">
        <f t="shared" ref="H153:L153" si="12">H154</f>
        <v>279000</v>
      </c>
      <c r="I153" s="19">
        <f t="shared" si="12"/>
        <v>1258326</v>
      </c>
      <c r="J153" s="129">
        <f t="shared" si="12"/>
        <v>827200</v>
      </c>
      <c r="K153" s="19">
        <f t="shared" si="12"/>
        <v>105000</v>
      </c>
      <c r="L153" s="19">
        <f t="shared" si="12"/>
        <v>215000</v>
      </c>
      <c r="M153" s="75"/>
      <c r="N153" s="5"/>
    </row>
    <row r="154" spans="1:14" ht="69" customHeight="1">
      <c r="A154" s="7" t="s">
        <v>93</v>
      </c>
      <c r="B154" s="14"/>
      <c r="C154" s="15"/>
      <c r="D154" s="20"/>
      <c r="E154" s="9" t="s">
        <v>35</v>
      </c>
      <c r="F154" s="15"/>
      <c r="G154" s="21">
        <f>SUM(G155:G161)</f>
        <v>231298.14</v>
      </c>
      <c r="H154" s="21">
        <f t="shared" ref="H154:L154" si="13">SUM(H155:H161)</f>
        <v>279000</v>
      </c>
      <c r="I154" s="21">
        <f t="shared" si="13"/>
        <v>1258326</v>
      </c>
      <c r="J154" s="123">
        <f t="shared" si="13"/>
        <v>827200</v>
      </c>
      <c r="K154" s="21">
        <f t="shared" si="13"/>
        <v>105000</v>
      </c>
      <c r="L154" s="21">
        <f t="shared" si="13"/>
        <v>215000</v>
      </c>
      <c r="M154" s="75"/>
      <c r="N154" s="5"/>
    </row>
    <row r="155" spans="1:14" ht="32.25" customHeight="1">
      <c r="A155" s="141" t="s">
        <v>94</v>
      </c>
      <c r="B155" s="141" t="s">
        <v>49</v>
      </c>
      <c r="C155" s="16">
        <v>905</v>
      </c>
      <c r="D155" s="16">
        <v>703</v>
      </c>
      <c r="E155" s="1" t="s">
        <v>36</v>
      </c>
      <c r="F155" s="16">
        <v>612</v>
      </c>
      <c r="G155" s="87">
        <v>40000</v>
      </c>
      <c r="H155" s="87">
        <v>40000</v>
      </c>
      <c r="I155" s="88">
        <f>40000</f>
        <v>40000</v>
      </c>
      <c r="J155" s="127">
        <v>40000</v>
      </c>
      <c r="K155" s="87"/>
      <c r="L155" s="87">
        <v>40000</v>
      </c>
      <c r="M155" s="75" t="s">
        <v>109</v>
      </c>
      <c r="N155" s="142" t="s">
        <v>62</v>
      </c>
    </row>
    <row r="156" spans="1:14" ht="34.5" customHeight="1">
      <c r="A156" s="141"/>
      <c r="B156" s="141"/>
      <c r="C156" s="16">
        <v>905</v>
      </c>
      <c r="D156" s="16">
        <v>801</v>
      </c>
      <c r="E156" s="1" t="s">
        <v>36</v>
      </c>
      <c r="F156" s="16">
        <v>612</v>
      </c>
      <c r="G156" s="87">
        <v>39298.14</v>
      </c>
      <c r="H156" s="87">
        <v>70000</v>
      </c>
      <c r="I156" s="88">
        <v>120000</v>
      </c>
      <c r="J156" s="127">
        <v>110800</v>
      </c>
      <c r="K156" s="87"/>
      <c r="L156" s="87">
        <v>70000</v>
      </c>
      <c r="M156" s="75" t="s">
        <v>110</v>
      </c>
      <c r="N156" s="143"/>
    </row>
    <row r="157" spans="1:14" ht="30" customHeight="1">
      <c r="A157" s="141"/>
      <c r="B157" s="141"/>
      <c r="C157" s="16">
        <v>905</v>
      </c>
      <c r="D157" s="16">
        <v>804</v>
      </c>
      <c r="E157" s="1" t="s">
        <v>36</v>
      </c>
      <c r="F157" s="16">
        <v>630</v>
      </c>
      <c r="G157" s="87">
        <v>8000</v>
      </c>
      <c r="H157" s="87">
        <v>8000</v>
      </c>
      <c r="I157" s="88"/>
      <c r="J157" s="127"/>
      <c r="K157" s="87"/>
      <c r="L157" s="87"/>
      <c r="M157" s="75" t="s">
        <v>111</v>
      </c>
      <c r="N157" s="143"/>
    </row>
    <row r="158" spans="1:14" ht="30" customHeight="1">
      <c r="A158" s="141"/>
      <c r="B158" s="141"/>
      <c r="C158" s="16">
        <v>905</v>
      </c>
      <c r="D158" s="16">
        <v>804</v>
      </c>
      <c r="E158" s="1" t="s">
        <v>36</v>
      </c>
      <c r="F158" s="16">
        <v>244</v>
      </c>
      <c r="G158" s="87">
        <v>39000</v>
      </c>
      <c r="H158" s="87">
        <v>39000</v>
      </c>
      <c r="I158" s="88"/>
      <c r="J158" s="127"/>
      <c r="K158" s="87"/>
      <c r="L158" s="87"/>
      <c r="M158" s="75" t="s">
        <v>151</v>
      </c>
      <c r="N158" s="143"/>
    </row>
    <row r="159" spans="1:14" ht="34.5" customHeight="1">
      <c r="A159" s="141"/>
      <c r="B159" s="141" t="s">
        <v>43</v>
      </c>
      <c r="C159" s="16">
        <v>904</v>
      </c>
      <c r="D159" s="16">
        <v>703</v>
      </c>
      <c r="E159" s="1" t="s">
        <v>36</v>
      </c>
      <c r="F159" s="16">
        <v>612</v>
      </c>
      <c r="G159" s="87">
        <v>70000</v>
      </c>
      <c r="H159" s="87">
        <v>87000</v>
      </c>
      <c r="I159" s="88">
        <f>515050+605000-30000</f>
        <v>1090050</v>
      </c>
      <c r="J159" s="127">
        <f>531400+120000</f>
        <v>651400</v>
      </c>
      <c r="K159" s="87">
        <v>70000</v>
      </c>
      <c r="L159" s="87">
        <v>70000</v>
      </c>
      <c r="M159" s="75" t="s">
        <v>112</v>
      </c>
      <c r="N159" s="143"/>
    </row>
    <row r="160" spans="1:14">
      <c r="A160" s="141"/>
      <c r="B160" s="141"/>
      <c r="C160" s="16">
        <v>904</v>
      </c>
      <c r="D160" s="16">
        <v>709</v>
      </c>
      <c r="E160" s="1" t="s">
        <v>36</v>
      </c>
      <c r="F160" s="16">
        <v>122</v>
      </c>
      <c r="G160" s="87"/>
      <c r="H160" s="87"/>
      <c r="I160" s="88"/>
      <c r="J160" s="127"/>
      <c r="K160" s="87"/>
      <c r="L160" s="87"/>
      <c r="M160" s="75" t="s">
        <v>42</v>
      </c>
      <c r="N160" s="143"/>
    </row>
    <row r="161" spans="1:14" ht="15.75" customHeight="1">
      <c r="A161" s="141"/>
      <c r="B161" s="141"/>
      <c r="C161" s="16">
        <v>904</v>
      </c>
      <c r="D161" s="16">
        <v>709</v>
      </c>
      <c r="E161" s="1" t="s">
        <v>36</v>
      </c>
      <c r="F161" s="16">
        <v>244</v>
      </c>
      <c r="G161" s="87">
        <v>35000</v>
      </c>
      <c r="H161" s="87">
        <v>35000</v>
      </c>
      <c r="I161" s="88">
        <f>35000-14340-12384</f>
        <v>8276</v>
      </c>
      <c r="J161" s="127">
        <v>25000</v>
      </c>
      <c r="K161" s="87">
        <v>35000</v>
      </c>
      <c r="L161" s="87">
        <v>35000</v>
      </c>
      <c r="M161" s="75" t="s">
        <v>113</v>
      </c>
      <c r="N161" s="144"/>
    </row>
    <row r="162" spans="1:14" ht="25.5" customHeight="1">
      <c r="A162" s="55"/>
      <c r="B162" s="55"/>
      <c r="C162" s="56"/>
      <c r="D162" s="56"/>
      <c r="E162" s="57"/>
      <c r="F162" s="58"/>
      <c r="G162" s="59"/>
      <c r="H162" s="59"/>
      <c r="I162" s="72"/>
      <c r="J162" s="138"/>
      <c r="K162" s="59"/>
      <c r="L162" s="59"/>
      <c r="M162" s="60"/>
      <c r="N162" s="55"/>
    </row>
    <row r="163" spans="1:14" ht="69.75" customHeight="1">
      <c r="A163" s="155" t="s">
        <v>303</v>
      </c>
      <c r="B163" s="155"/>
      <c r="C163" s="155"/>
      <c r="D163" s="155"/>
      <c r="E163" s="155"/>
      <c r="F163" s="155"/>
      <c r="G163" s="155"/>
      <c r="H163" s="155"/>
      <c r="I163" s="155"/>
      <c r="M163" s="61" t="s">
        <v>95</v>
      </c>
    </row>
    <row r="164" spans="1:14">
      <c r="A164" s="153"/>
      <c r="B164" s="153"/>
      <c r="C164" s="153"/>
      <c r="D164" s="153"/>
      <c r="E164" s="153"/>
      <c r="F164" s="153"/>
      <c r="G164" s="26"/>
      <c r="H164" s="26"/>
      <c r="I164" s="73"/>
      <c r="J164" s="140"/>
      <c r="K164" s="26"/>
      <c r="L164" s="26"/>
      <c r="M164" s="78"/>
    </row>
    <row r="165" spans="1:14" ht="15.75" customHeight="1">
      <c r="A165" s="153"/>
      <c r="B165" s="153"/>
      <c r="C165" s="153"/>
      <c r="D165" s="153"/>
      <c r="E165" s="153"/>
      <c r="F165" s="153"/>
      <c r="G165" s="26"/>
      <c r="H165" s="26"/>
      <c r="I165" s="73"/>
      <c r="J165" s="140"/>
      <c r="K165" s="26"/>
      <c r="L165" s="26"/>
    </row>
    <row r="166" spans="1:14">
      <c r="A166" s="153"/>
      <c r="B166" s="153"/>
      <c r="C166" s="153"/>
      <c r="D166" s="153"/>
      <c r="E166" s="153"/>
      <c r="F166" s="153"/>
      <c r="G166" s="26"/>
      <c r="H166" s="26"/>
      <c r="I166" s="73"/>
      <c r="J166" s="140"/>
      <c r="K166" s="26"/>
      <c r="L166" s="26"/>
    </row>
  </sheetData>
  <mergeCells count="85">
    <mergeCell ref="N15:N21"/>
    <mergeCell ref="M32:M33"/>
    <mergeCell ref="N24:N29"/>
    <mergeCell ref="A38:A39"/>
    <mergeCell ref="A32:A33"/>
    <mergeCell ref="N12:N13"/>
    <mergeCell ref="A10:M10"/>
    <mergeCell ref="G12:L12"/>
    <mergeCell ref="B12:B13"/>
    <mergeCell ref="C12:F12"/>
    <mergeCell ref="M12:M13"/>
    <mergeCell ref="A12:A13"/>
    <mergeCell ref="M1:N1"/>
    <mergeCell ref="M4:N4"/>
    <mergeCell ref="A9:N9"/>
    <mergeCell ref="M6:N6"/>
    <mergeCell ref="M7:N7"/>
    <mergeCell ref="A163:I163"/>
    <mergeCell ref="A15:A21"/>
    <mergeCell ref="M118:M120"/>
    <mergeCell ref="M103:M105"/>
    <mergeCell ref="A58:A60"/>
    <mergeCell ref="M112:M113"/>
    <mergeCell ref="M106:M108"/>
    <mergeCell ref="A63:A66"/>
    <mergeCell ref="A40:A42"/>
    <mergeCell ref="M85:M87"/>
    <mergeCell ref="M55:M57"/>
    <mergeCell ref="M47:M48"/>
    <mergeCell ref="B71:B72"/>
    <mergeCell ref="A26:A27"/>
    <mergeCell ref="A121:A123"/>
    <mergeCell ref="A150:A152"/>
    <mergeCell ref="A118:A120"/>
    <mergeCell ref="M88:M90"/>
    <mergeCell ref="M126:M127"/>
    <mergeCell ref="M121:M123"/>
    <mergeCell ref="A166:F166"/>
    <mergeCell ref="A164:F164"/>
    <mergeCell ref="A155:A161"/>
    <mergeCell ref="B159:B161"/>
    <mergeCell ref="A165:F165"/>
    <mergeCell ref="B155:B158"/>
    <mergeCell ref="A94:A96"/>
    <mergeCell ref="A88:A90"/>
    <mergeCell ref="A106:A108"/>
    <mergeCell ref="A112:A113"/>
    <mergeCell ref="A139:A140"/>
    <mergeCell ref="A145:A148"/>
    <mergeCell ref="A69:A70"/>
    <mergeCell ref="B69:B70"/>
    <mergeCell ref="A67:A68"/>
    <mergeCell ref="M114:M116"/>
    <mergeCell ref="A114:A116"/>
    <mergeCell ref="A99:A101"/>
    <mergeCell ref="M99:M101"/>
    <mergeCell ref="M94:M96"/>
    <mergeCell ref="M109:M110"/>
    <mergeCell ref="A82:A83"/>
    <mergeCell ref="A85:A87"/>
    <mergeCell ref="F85:F87"/>
    <mergeCell ref="B67:B68"/>
    <mergeCell ref="M82:M83"/>
    <mergeCell ref="A142:A143"/>
    <mergeCell ref="B142:B143"/>
    <mergeCell ref="N142:N143"/>
    <mergeCell ref="N135:N140"/>
    <mergeCell ref="M58:M60"/>
    <mergeCell ref="N89:N96"/>
    <mergeCell ref="N37:N60"/>
    <mergeCell ref="A103:A105"/>
    <mergeCell ref="A71:A72"/>
    <mergeCell ref="A80:A81"/>
    <mergeCell ref="M80:M81"/>
    <mergeCell ref="A130:A132"/>
    <mergeCell ref="A55:A57"/>
    <mergeCell ref="A126:A127"/>
    <mergeCell ref="B63:B66"/>
    <mergeCell ref="M130:M132"/>
    <mergeCell ref="B41:B42"/>
    <mergeCell ref="N155:N161"/>
    <mergeCell ref="N63:N72"/>
    <mergeCell ref="M150:M152"/>
    <mergeCell ref="M145:M148"/>
    <mergeCell ref="B145:B148"/>
  </mergeCells>
  <pageMargins left="0.23622047244094491" right="0.23622047244094491" top="0.94488188976377963" bottom="0.94488188976377963" header="0.31496062992125984" footer="0.31496062992125984"/>
  <pageSetup paperSize="9" scale="54" fitToHeight="0" orientation="landscape" r:id="rId1"/>
  <rowBreaks count="1" manualBreakCount="1">
    <brk id="30" max="12" man="1"/>
  </rowBreaks>
  <legacyDrawing r:id="rId2"/>
</worksheet>
</file>

<file path=xl/worksheets/sheet2.xml><?xml version="1.0" encoding="utf-8"?>
<worksheet xmlns="http://schemas.openxmlformats.org/spreadsheetml/2006/main" xmlns:r="http://schemas.openxmlformats.org/officeDocument/2006/relationships">
  <dimension ref="A1:E34"/>
  <sheetViews>
    <sheetView workbookViewId="0">
      <selection sqref="A1:D34"/>
    </sheetView>
  </sheetViews>
  <sheetFormatPr defaultRowHeight="15"/>
  <cols>
    <col min="1" max="1" width="17.42578125" style="29" customWidth="1"/>
    <col min="2" max="2" width="17.7109375" style="29" customWidth="1"/>
    <col min="3" max="3" width="20" style="30" customWidth="1"/>
  </cols>
  <sheetData>
    <row r="1" spans="1:5">
      <c r="A1" s="31">
        <v>1081475711.6900001</v>
      </c>
      <c r="B1" s="31">
        <v>1342809148.1600001</v>
      </c>
      <c r="C1" s="32">
        <f>B1-A1</f>
        <v>261333436.47000003</v>
      </c>
      <c r="D1" s="33"/>
      <c r="E1" s="33"/>
    </row>
    <row r="2" spans="1:5">
      <c r="A2" s="31">
        <v>1192633240.04</v>
      </c>
      <c r="B2" s="31" t="s">
        <v>191</v>
      </c>
      <c r="C2" s="32">
        <f t="shared" ref="C2:C30" si="0">B2-A2</f>
        <v>183370043.91000009</v>
      </c>
      <c r="D2" s="33"/>
      <c r="E2" s="33"/>
    </row>
    <row r="3" spans="1:5">
      <c r="A3" s="31" t="s">
        <v>192</v>
      </c>
      <c r="B3" s="31" t="s">
        <v>193</v>
      </c>
      <c r="C3" s="32">
        <f t="shared" si="0"/>
        <v>703003166.15999997</v>
      </c>
      <c r="D3" s="33"/>
      <c r="E3" s="33"/>
    </row>
    <row r="4" spans="1:5">
      <c r="A4" s="34" t="s">
        <v>194</v>
      </c>
      <c r="B4" s="34" t="s">
        <v>195</v>
      </c>
      <c r="C4" s="32">
        <f t="shared" si="0"/>
        <v>160945398.76999998</v>
      </c>
      <c r="D4" s="33"/>
      <c r="E4" s="33"/>
    </row>
    <row r="5" spans="1:5">
      <c r="A5" s="34" t="s">
        <v>196</v>
      </c>
      <c r="B5" s="34" t="s">
        <v>197</v>
      </c>
      <c r="C5" s="32">
        <f t="shared" si="0"/>
        <v>184271482.08000016</v>
      </c>
      <c r="D5" s="33"/>
      <c r="E5" s="33"/>
    </row>
    <row r="6" spans="1:5">
      <c r="A6" s="34" t="s">
        <v>198</v>
      </c>
      <c r="B6" s="34" t="s">
        <v>199</v>
      </c>
      <c r="C6" s="32">
        <f t="shared" si="0"/>
        <v>719032363.37</v>
      </c>
      <c r="D6" s="33"/>
      <c r="E6" s="33"/>
    </row>
    <row r="7" spans="1:5">
      <c r="A7" s="35" t="s">
        <v>200</v>
      </c>
      <c r="B7" s="35" t="s">
        <v>201</v>
      </c>
      <c r="C7" s="32">
        <f t="shared" si="0"/>
        <v>19665097.969999999</v>
      </c>
      <c r="D7" s="33"/>
      <c r="E7" s="33"/>
    </row>
    <row r="8" spans="1:5">
      <c r="A8" s="35" t="s">
        <v>202</v>
      </c>
      <c r="B8" s="35" t="s">
        <v>203</v>
      </c>
      <c r="C8" s="32">
        <f t="shared" si="0"/>
        <v>34242639.590000004</v>
      </c>
      <c r="D8" s="33"/>
      <c r="E8" s="33"/>
    </row>
    <row r="9" spans="1:5">
      <c r="A9" s="35" t="s">
        <v>204</v>
      </c>
      <c r="B9" s="35" t="s">
        <v>205</v>
      </c>
      <c r="C9" s="32">
        <f t="shared" si="0"/>
        <v>24709553.25</v>
      </c>
      <c r="D9" s="33"/>
      <c r="E9" s="33"/>
    </row>
    <row r="10" spans="1:5">
      <c r="A10" s="35">
        <v>0</v>
      </c>
      <c r="B10" s="35">
        <v>0</v>
      </c>
      <c r="C10" s="32">
        <f t="shared" si="0"/>
        <v>0</v>
      </c>
      <c r="D10" s="33"/>
      <c r="E10" s="33"/>
    </row>
    <row r="11" spans="1:5">
      <c r="A11" s="35">
        <v>0</v>
      </c>
      <c r="B11" s="35" t="s">
        <v>206</v>
      </c>
      <c r="C11" s="32">
        <f t="shared" si="0"/>
        <v>27151413.989999998</v>
      </c>
      <c r="D11" s="33"/>
      <c r="E11" s="33"/>
    </row>
    <row r="12" spans="1:5">
      <c r="A12" s="35">
        <v>0</v>
      </c>
      <c r="B12" s="35">
        <v>0</v>
      </c>
      <c r="C12" s="32">
        <f t="shared" si="0"/>
        <v>0</v>
      </c>
      <c r="D12" s="33"/>
      <c r="E12" s="33"/>
    </row>
    <row r="13" spans="1:5">
      <c r="A13" s="35" t="s">
        <v>207</v>
      </c>
      <c r="B13" s="35" t="s">
        <v>208</v>
      </c>
      <c r="C13" s="32">
        <f t="shared" si="0"/>
        <v>63642131.689999938</v>
      </c>
      <c r="D13" s="33"/>
      <c r="E13" s="33"/>
    </row>
    <row r="14" spans="1:5">
      <c r="A14" s="35" t="s">
        <v>209</v>
      </c>
      <c r="B14" s="35" t="s">
        <v>210</v>
      </c>
      <c r="C14" s="32">
        <f t="shared" si="0"/>
        <v>50056309.899999976</v>
      </c>
      <c r="D14" s="33"/>
      <c r="E14" s="33"/>
    </row>
    <row r="15" spans="1:5">
      <c r="A15" s="35" t="s">
        <v>211</v>
      </c>
      <c r="B15" s="35" t="s">
        <v>212</v>
      </c>
      <c r="C15" s="32">
        <f t="shared" si="0"/>
        <v>334736020.13</v>
      </c>
      <c r="D15" s="33"/>
      <c r="E15" s="33"/>
    </row>
    <row r="16" spans="1:5">
      <c r="A16" s="35" t="s">
        <v>213</v>
      </c>
      <c r="B16" s="35" t="s">
        <v>214</v>
      </c>
      <c r="C16" s="32">
        <f t="shared" si="0"/>
        <v>16383.909999996424</v>
      </c>
      <c r="D16" s="33"/>
      <c r="E16" s="33"/>
    </row>
    <row r="17" spans="1:5">
      <c r="A17" s="35" t="s">
        <v>213</v>
      </c>
      <c r="B17" s="35">
        <v>43753984.229999997</v>
      </c>
      <c r="C17" s="32">
        <f t="shared" si="0"/>
        <v>-12015.090000003576</v>
      </c>
      <c r="D17" s="33"/>
      <c r="E17" s="33"/>
    </row>
    <row r="18" spans="1:5">
      <c r="A18" s="35">
        <v>33598587</v>
      </c>
      <c r="B18" s="35">
        <v>43745983.229999997</v>
      </c>
      <c r="C18" s="32">
        <f t="shared" si="0"/>
        <v>10147396.229999997</v>
      </c>
      <c r="D18" s="33"/>
      <c r="E18" s="33"/>
    </row>
    <row r="19" spans="1:5">
      <c r="A19" s="35">
        <v>0</v>
      </c>
      <c r="B19" s="35">
        <v>2542849.2000000002</v>
      </c>
      <c r="C19" s="32">
        <f t="shared" si="0"/>
        <v>2542849.2000000002</v>
      </c>
      <c r="D19" s="33"/>
      <c r="E19" s="33"/>
    </row>
    <row r="20" spans="1:5">
      <c r="A20" s="35">
        <v>0</v>
      </c>
      <c r="B20" s="35">
        <v>25405611.68</v>
      </c>
      <c r="C20" s="32">
        <f t="shared" si="0"/>
        <v>25405611.68</v>
      </c>
      <c r="D20" s="33"/>
      <c r="E20" s="33"/>
    </row>
    <row r="21" spans="1:5">
      <c r="A21" s="35">
        <v>0</v>
      </c>
      <c r="B21" s="35">
        <v>275235465.75999999</v>
      </c>
      <c r="C21" s="32">
        <f t="shared" si="0"/>
        <v>275235465.75999999</v>
      </c>
      <c r="D21" s="33"/>
      <c r="E21" s="33"/>
    </row>
    <row r="22" spans="1:5">
      <c r="A22" s="35">
        <v>0</v>
      </c>
      <c r="B22" s="35">
        <v>75078936</v>
      </c>
      <c r="C22" s="32">
        <f t="shared" si="0"/>
        <v>75078936</v>
      </c>
      <c r="D22" s="33"/>
      <c r="E22" s="33"/>
    </row>
    <row r="23" spans="1:5">
      <c r="A23" s="35">
        <v>0</v>
      </c>
      <c r="B23" s="35">
        <v>74578936</v>
      </c>
      <c r="C23" s="32">
        <f t="shared" si="0"/>
        <v>74578936</v>
      </c>
      <c r="D23" s="33"/>
      <c r="E23" s="33"/>
    </row>
    <row r="24" spans="1:5">
      <c r="A24" s="35">
        <v>0</v>
      </c>
      <c r="B24" s="35">
        <v>74203928</v>
      </c>
      <c r="C24" s="32">
        <f t="shared" si="0"/>
        <v>74203928</v>
      </c>
      <c r="D24" s="33"/>
      <c r="E24" s="33"/>
    </row>
    <row r="25" spans="1:5">
      <c r="A25" s="34">
        <v>26871060</v>
      </c>
      <c r="B25" s="34">
        <v>31121800.789999999</v>
      </c>
      <c r="C25" s="32">
        <f t="shared" si="0"/>
        <v>4250740.7899999991</v>
      </c>
      <c r="D25" s="33"/>
      <c r="E25" s="33"/>
    </row>
    <row r="26" spans="1:5">
      <c r="A26" s="34">
        <v>26871060</v>
      </c>
      <c r="B26" s="34">
        <v>33043247.789999999</v>
      </c>
      <c r="C26" s="32">
        <f t="shared" si="0"/>
        <v>6172187.7899999991</v>
      </c>
      <c r="D26" s="33"/>
      <c r="E26" s="33"/>
    </row>
    <row r="27" spans="1:5">
      <c r="A27" s="34">
        <v>46028445</v>
      </c>
      <c r="B27" s="34">
        <v>30046247.789999999</v>
      </c>
      <c r="C27" s="32">
        <f t="shared" si="0"/>
        <v>-15982197.210000001</v>
      </c>
      <c r="D27" s="33"/>
      <c r="E27" s="33"/>
    </row>
    <row r="28" spans="1:5">
      <c r="A28" s="35">
        <v>16498000</v>
      </c>
      <c r="B28" s="35">
        <v>17131200.789999999</v>
      </c>
      <c r="C28" s="32">
        <f t="shared" si="0"/>
        <v>633200.78999999911</v>
      </c>
      <c r="D28" s="33"/>
      <c r="E28" s="33"/>
    </row>
    <row r="29" spans="1:5">
      <c r="A29" s="35">
        <v>16484000</v>
      </c>
      <c r="B29" s="35">
        <v>19231647.789999999</v>
      </c>
      <c r="C29" s="32">
        <f t="shared" si="0"/>
        <v>2747647.7899999991</v>
      </c>
      <c r="D29" s="33"/>
      <c r="E29" s="33"/>
    </row>
    <row r="30" spans="1:5">
      <c r="A30" s="36"/>
      <c r="B30" s="36"/>
      <c r="C30" s="32">
        <f t="shared" si="0"/>
        <v>0</v>
      </c>
      <c r="D30" s="33"/>
      <c r="E30" s="33"/>
    </row>
    <row r="31" spans="1:5">
      <c r="A31" s="37"/>
      <c r="B31" s="37"/>
      <c r="C31" s="38"/>
      <c r="D31" s="33"/>
      <c r="E31" s="33"/>
    </row>
    <row r="32" spans="1:5">
      <c r="A32" s="37"/>
      <c r="B32" s="37"/>
      <c r="C32" s="38"/>
      <c r="D32" s="33"/>
      <c r="E32" s="33"/>
    </row>
    <row r="33" spans="1:5">
      <c r="A33" s="37"/>
      <c r="B33" s="37"/>
      <c r="C33" s="38"/>
      <c r="D33" s="33"/>
      <c r="E33" s="33"/>
    </row>
    <row r="34" spans="1:5">
      <c r="A34" s="37"/>
      <c r="B34" s="37"/>
      <c r="C34" s="38"/>
      <c r="D34" s="33"/>
      <c r="E34" s="33"/>
    </row>
  </sheetData>
  <printOptions headings="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Лист1!Область_печати</vt:lpstr>
      <vt:lpstr>Лист2!Область_печати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2025-08-14T04:30:35Z</cp:lastPrinted>
  <dcterms:created xsi:type="dcterms:W3CDTF">2015-11-05T09:45:57Z</dcterms:created>
  <dcterms:modified xsi:type="dcterms:W3CDTF">2025-08-14T04:32:31Z</dcterms:modified>
</cp:coreProperties>
</file>